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625" yWindow="270" windowWidth="19320" windowHeight="10290"/>
  </bookViews>
  <sheets>
    <sheet name="Hárok1" sheetId="1" r:id="rId1"/>
    <sheet name="Hárok3" sheetId="3" r:id="rId2"/>
    <sheet name="Hárok2" sheetId="4" r:id="rId3"/>
  </sheets>
  <calcPr calcId="145621"/>
</workbook>
</file>

<file path=xl/calcChain.xml><?xml version="1.0" encoding="utf-8"?>
<calcChain xmlns="http://schemas.openxmlformats.org/spreadsheetml/2006/main">
  <c r="U57" i="1" l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/>
  <c r="D57" i="1"/>
  <c r="C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D56" i="1"/>
  <c r="C56" i="1"/>
  <c r="O32" i="1" l="1"/>
  <c r="V52" i="1" l="1"/>
  <c r="X52" i="1" s="1"/>
  <c r="U31" i="1" l="1"/>
  <c r="Q32" i="1" l="1"/>
  <c r="L32" i="1"/>
  <c r="K32" i="1"/>
  <c r="P32" i="1" l="1"/>
  <c r="Q35" i="1" l="1"/>
  <c r="P35" i="1"/>
  <c r="O35" i="1"/>
  <c r="L35" i="1"/>
  <c r="K35" i="1"/>
  <c r="E32" i="1" l="1"/>
  <c r="E35" i="1" s="1"/>
  <c r="V54" i="1" l="1"/>
  <c r="V53" i="1"/>
  <c r="V51" i="1"/>
  <c r="V50" i="1"/>
  <c r="V49" i="1"/>
  <c r="V48" i="1"/>
  <c r="V47" i="1"/>
  <c r="V45" i="1"/>
  <c r="V44" i="1"/>
  <c r="V38" i="1"/>
  <c r="V37" i="1"/>
  <c r="V36" i="1"/>
  <c r="V20" i="1"/>
  <c r="V19" i="1"/>
  <c r="V18" i="1"/>
  <c r="V43" i="1"/>
  <c r="V42" i="1"/>
  <c r="V41" i="1"/>
  <c r="V40" i="1"/>
  <c r="V33" i="1"/>
  <c r="V30" i="1"/>
  <c r="V29" i="1"/>
  <c r="V28" i="1"/>
  <c r="V27" i="1"/>
  <c r="V26" i="1"/>
  <c r="V25" i="1"/>
  <c r="V24" i="1"/>
  <c r="V23" i="1"/>
  <c r="V22" i="1"/>
  <c r="V17" i="1"/>
  <c r="V16" i="1"/>
  <c r="V15" i="1"/>
  <c r="V14" i="1"/>
  <c r="V12" i="1"/>
  <c r="V11" i="1"/>
  <c r="V10" i="1"/>
  <c r="V9" i="1"/>
  <c r="U21" i="1" l="1"/>
  <c r="U46" i="1" s="1"/>
  <c r="T32" i="1"/>
  <c r="T35" i="1" s="1"/>
  <c r="S32" i="1"/>
  <c r="S35" i="1" s="1"/>
  <c r="R32" i="1"/>
  <c r="R35" i="1" s="1"/>
  <c r="N32" i="1"/>
  <c r="N35" i="1" s="1"/>
  <c r="M32" i="1"/>
  <c r="M35" i="1" s="1"/>
  <c r="J32" i="1"/>
  <c r="J35" i="1" s="1"/>
  <c r="I32" i="1"/>
  <c r="I35" i="1" s="1"/>
  <c r="H32" i="1"/>
  <c r="H35" i="1" s="1"/>
  <c r="G32" i="1"/>
  <c r="G35" i="1" s="1"/>
  <c r="F32" i="1"/>
  <c r="F35" i="1" s="1"/>
  <c r="C32" i="1"/>
  <c r="C35" i="1" l="1"/>
  <c r="V32" i="1"/>
  <c r="C35" i="3"/>
  <c r="C31" i="3"/>
  <c r="C34" i="3" s="1"/>
  <c r="C21" i="3"/>
  <c r="C8" i="3"/>
  <c r="C46" i="3" l="1"/>
  <c r="D21" i="1"/>
  <c r="D8" i="1"/>
  <c r="D46" i="1" s="1"/>
  <c r="V35" i="1"/>
  <c r="E31" i="1"/>
  <c r="E21" i="1"/>
  <c r="E8" i="1"/>
  <c r="E34" i="1" l="1"/>
  <c r="E46" i="1" s="1"/>
  <c r="X51" i="1" l="1"/>
  <c r="X53" i="1" l="1"/>
  <c r="N8" i="1" l="1"/>
  <c r="X54" i="1" l="1"/>
  <c r="X50" i="1"/>
  <c r="X49" i="1"/>
  <c r="X48" i="1"/>
  <c r="X47" i="1"/>
  <c r="M31" i="1" l="1"/>
  <c r="M34" i="1" s="1"/>
  <c r="M21" i="1"/>
  <c r="M8" i="1"/>
  <c r="K31" i="1"/>
  <c r="K34" i="1" s="1"/>
  <c r="K21" i="1"/>
  <c r="K8" i="1"/>
  <c r="H31" i="1"/>
  <c r="G31" i="1"/>
  <c r="G34" i="1" s="1"/>
  <c r="H21" i="1"/>
  <c r="G21" i="1"/>
  <c r="H8" i="1"/>
  <c r="G8" i="1"/>
  <c r="F31" i="1"/>
  <c r="F34" i="1" s="1"/>
  <c r="F21" i="1"/>
  <c r="F56" i="1" s="1"/>
  <c r="F57" i="1" s="1"/>
  <c r="F8" i="1"/>
  <c r="C8" i="1"/>
  <c r="C21" i="1"/>
  <c r="C31" i="1"/>
  <c r="C34" i="1" s="1"/>
  <c r="H34" i="1" l="1"/>
  <c r="C46" i="1"/>
  <c r="H46" i="1"/>
  <c r="F46" i="1"/>
  <c r="M46" i="1"/>
  <c r="G46" i="1"/>
  <c r="K46" i="1"/>
  <c r="X44" i="1" l="1"/>
  <c r="X43" i="1"/>
  <c r="X42" i="1"/>
  <c r="X41" i="1"/>
  <c r="X40" i="1"/>
  <c r="X37" i="1"/>
  <c r="X36" i="1"/>
  <c r="X9" i="1"/>
  <c r="X10" i="1"/>
  <c r="X11" i="1"/>
  <c r="X14" i="1"/>
  <c r="X15" i="1"/>
  <c r="X16" i="1"/>
  <c r="X17" i="1"/>
  <c r="X18" i="1"/>
  <c r="X19" i="1"/>
  <c r="X22" i="1"/>
  <c r="X23" i="1"/>
  <c r="X24" i="1"/>
  <c r="X25" i="1"/>
  <c r="X27" i="1"/>
  <c r="X28" i="1"/>
  <c r="X29" i="1"/>
  <c r="X32" i="1"/>
  <c r="T21" i="1" l="1"/>
  <c r="T31" i="1"/>
  <c r="T34" i="1" s="1"/>
  <c r="T46" i="1" l="1"/>
  <c r="O8" i="1" l="1"/>
  <c r="X26" i="1" l="1"/>
  <c r="O39" i="1" l="1"/>
  <c r="O13" i="1" l="1"/>
  <c r="J31" i="1" l="1"/>
  <c r="J34" i="1" s="1"/>
  <c r="R13" i="1" l="1"/>
  <c r="V13" i="1" s="1"/>
  <c r="R21" i="1"/>
  <c r="Q21" i="1"/>
  <c r="P21" i="1"/>
  <c r="O21" i="1"/>
  <c r="N21" i="1"/>
  <c r="L21" i="1"/>
  <c r="J21" i="1"/>
  <c r="I21" i="1"/>
  <c r="S21" i="1"/>
  <c r="R8" i="1"/>
  <c r="Q8" i="1"/>
  <c r="P8" i="1"/>
  <c r="L8" i="1"/>
  <c r="J8" i="1"/>
  <c r="I8" i="1"/>
  <c r="S8" i="1"/>
  <c r="R39" i="1"/>
  <c r="V39" i="1" s="1"/>
  <c r="Q31" i="1"/>
  <c r="Q34" i="1" s="1"/>
  <c r="I31" i="1"/>
  <c r="I34" i="1" s="1"/>
  <c r="L31" i="1"/>
  <c r="L34" i="1" s="1"/>
  <c r="N31" i="1"/>
  <c r="N34" i="1" s="1"/>
  <c r="O31" i="1"/>
  <c r="P31" i="1"/>
  <c r="P34" i="1" s="1"/>
  <c r="R31" i="1"/>
  <c r="S31" i="1"/>
  <c r="S34" i="1" s="1"/>
  <c r="V8" i="1" l="1"/>
  <c r="V21" i="1"/>
  <c r="X21" i="1" s="1"/>
  <c r="O34" i="1"/>
  <c r="V31" i="1"/>
  <c r="X20" i="1"/>
  <c r="R34" i="1"/>
  <c r="X33" i="1" s="1"/>
  <c r="X30" i="1"/>
  <c r="X39" i="1"/>
  <c r="X38" i="1"/>
  <c r="X13" i="1"/>
  <c r="X12" i="1"/>
  <c r="X35" i="1"/>
  <c r="I46" i="1"/>
  <c r="N46" i="1"/>
  <c r="Q46" i="1"/>
  <c r="O46" i="1"/>
  <c r="L46" i="1"/>
  <c r="J46" i="1"/>
  <c r="P46" i="1"/>
  <c r="S46" i="1"/>
  <c r="V34" i="1" l="1"/>
  <c r="X34" i="1" s="1"/>
  <c r="X8" i="1"/>
  <c r="X31" i="1"/>
  <c r="R46" i="1"/>
  <c r="X45" i="1" s="1"/>
  <c r="V46" i="1" l="1"/>
  <c r="V58" i="1" s="1"/>
  <c r="X58" i="1" l="1"/>
  <c r="X46" i="1"/>
</calcChain>
</file>

<file path=xl/comments1.xml><?xml version="1.0" encoding="utf-8"?>
<comments xmlns="http://schemas.openxmlformats.org/spreadsheetml/2006/main">
  <authors>
    <author>Smolec Maroš</author>
    <author>Jaroslav Gustiňák</author>
    <author>Ondrejčo Miroslav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Hlavne kancelárske a administratívne potreby pre sekretariát MS v Martine i Bratislave.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Kancelárske, administratívne i hygienické potreby pre všetky OP MS.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Hygienické potreby na upratovanie všetkých budov MS, pohonné hmoty pre všetky útvary MS, potreby pre správu pozemkov MS.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Potreby na šitie, galantérny materiál na opravu kostýmov, kancelársky materiál pre PKaK.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Pohonné hmoty pre všetky útvary MS. +1000</t>
        </r>
      </text>
    </comment>
    <comment ref="H10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+400</t>
        </r>
      </text>
    </comment>
    <comment ref="I10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+150
</t>
        </r>
      </text>
    </comment>
    <comment ref="N10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+750</t>
        </r>
      </text>
    </comment>
    <comment ref="Q10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+400</t>
        </r>
      </text>
    </comment>
    <comment ref="R12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+500</t>
        </r>
      </text>
    </comment>
    <comment ref="O13" authorId="2">
      <text>
        <r>
          <rPr>
            <sz val="10"/>
            <color indexed="81"/>
            <rFont val="Tahoma"/>
            <family val="2"/>
            <charset val="238"/>
          </rPr>
          <t>Energie a médiá pre všetky Oblastné strediská MS.</t>
        </r>
        <r>
          <rPr>
            <sz val="8"/>
            <color indexed="81"/>
            <rFont val="Tahoma"/>
            <family val="2"/>
            <charset val="238"/>
          </rPr>
          <t xml:space="preserve"> 
</t>
        </r>
      </text>
    </comment>
    <comment ref="R13" authorId="2">
      <text>
        <r>
          <rPr>
            <sz val="10"/>
            <color indexed="81"/>
            <rFont val="Tahoma"/>
            <family val="2"/>
            <charset val="238"/>
          </rPr>
          <t>Energie a médiá pre všetky budovy Matice slovenskej - 2. budova, Beňuškov dom -  okrem OS MS. Štátne i neštátne výdavky.</t>
        </r>
      </text>
    </comment>
    <comment ref="R14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-500</t>
        </r>
      </text>
    </comment>
    <comment ref="C18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-1000</t>
        </r>
      </text>
    </comment>
    <comment ref="L18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+200</t>
        </r>
      </text>
    </comment>
    <comment ref="Q18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+350</t>
        </r>
      </text>
    </comment>
    <comment ref="C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+500</t>
        </r>
      </text>
    </comment>
    <comment ref="G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+70</t>
        </r>
      </text>
    </comment>
    <comment ref="J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+50</t>
        </r>
      </text>
    </comment>
    <comment ref="L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zníženie o 300,- Arch konferencia bude v MT</t>
        </r>
      </text>
    </comment>
    <comment ref="N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+300</t>
        </r>
      </text>
    </comment>
    <comment ref="P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+200</t>
        </r>
      </text>
    </comment>
    <comment ref="R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-100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Občerstvenie delegátov VZ MS. Neštátne prostriedky /NŠ/.</t>
        </r>
      </text>
    </comment>
    <comment ref="L20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navýšenie o 370,- EUR - občerstvenie pre účastníkov Archívnej konferencie</t>
        </r>
      </text>
    </comment>
    <comment ref="P20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Merkantil - reklamné predmety, tričká MS.
Neštátne výdavky. Tieto zdroje by sa mali aj zhodnotiť. 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Všetky potrebné dodávateľské služby na chod sekretariátu vrátane právnikov MS.</t>
        </r>
      </text>
    </comment>
    <comment ref="O22" authorId="2">
      <text>
        <r>
          <rPr>
            <sz val="10"/>
            <color indexed="81"/>
            <rFont val="Tahoma"/>
            <family val="2"/>
            <charset val="238"/>
          </rPr>
          <t>Celkové nájomné za všetky Oblastné strediská MS v prenajatých priestoroch.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22" authorId="2">
      <text>
        <r>
          <rPr>
            <sz val="10"/>
            <color indexed="81"/>
            <rFont val="Tahoma"/>
            <family val="2"/>
            <charset val="238"/>
          </rPr>
          <t>Nájomné za priestory PKaK, budova NEOGRAFIA C, Martin vo vlastníctve ECAV.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Distribúcia SNN. Z predaja SNN máme však medziročne príjmy 45 000 EUR.+2200</t>
        </r>
      </text>
    </comment>
    <comment ref="R23" authorId="2">
      <text>
        <r>
          <rPr>
            <sz val="10"/>
            <color indexed="81"/>
            <rFont val="Tahoma"/>
            <family val="2"/>
            <charset val="238"/>
          </rPr>
          <t>Poštovné služby, telefóny a internet pre celú MS.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R24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Stravné lístky pre zamestnancov MS. </t>
        </r>
      </text>
    </comment>
    <comment ref="N25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-250</t>
        </r>
      </text>
    </comment>
    <comment ref="Q25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+600</t>
        </r>
      </text>
    </comment>
    <comment ref="C26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Všetky potrebné dodávateľské služby na chod sekretariátu vrátane právnikov MS. Aj výroba medailí za 1 500,- EUR.
+1000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Organizačné služby pre VZ MS, ubytovanie účastníkov. Neštátne výdavky. 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Dodávateľské služby za riadenie redakcie, grafické spracovanie SNN a iné nutné služby. Z predaja inzercie máme medziročne príjmy 5 000 EUR. Faktúrácia ide prostredníctvom VMS, s.r.o. ako spoluvydavateľa SNN.+1400</t>
        </r>
      </text>
    </comment>
    <comment ref="K26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+200</t>
        </r>
      </text>
    </comment>
    <comment ref="L26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+100</t>
        </r>
      </text>
    </comment>
    <comment ref="O26" authorId="2">
      <text>
        <r>
          <rPr>
            <sz val="10"/>
            <color indexed="81"/>
            <rFont val="Tahoma"/>
            <family val="2"/>
            <charset val="238"/>
          </rPr>
          <t>Propagačné materiály, služby na podujatia pre OS MS, mimo ústredia MS.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propagačné materiály pre MS , videofilmy TV Matica, ostatné dodávateľské služby na propagáciu, online prostredie + 1000,- za depozit obrazov Hložníka na rok 2017.</t>
        </r>
      </text>
    </comment>
    <comment ref="Q26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-600</t>
        </r>
      </text>
    </comment>
    <comment ref="R26" authorId="2">
      <text>
        <r>
          <rPr>
            <sz val="10"/>
            <color indexed="81"/>
            <rFont val="Tahoma"/>
            <family val="2"/>
            <charset val="238"/>
          </rPr>
          <t>Bežné služby, správa a údržba ekonomického SW SOFTIP, licencie na programy, portály BOZP, stavebný dozor, stavebná projekcia, zdravotná služba. Neštátne výdavky.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Dodávateľské služby za organizáciu podujatí hlavných aktivít, prenájom priestorov, propagácia, organizácia na základe pravidiel organizácie HA MS.</t>
        </r>
      </text>
    </comment>
    <comment ref="L28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Ročná aktualizácia programu Clavius, 
ak bude treba 300 na SW fotoarchív , presunie sa z Akvizície ( obe sú NŠ)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Honoráre pre autorov SNN, 350 EUR pre pravidelných spolupracovníkov a 310 pre nepravidelných autorov na jedno vydanie SNN.-2600</t>
        </r>
      </text>
    </comment>
    <comment ref="G29" authorId="2">
      <text>
        <r>
          <rPr>
            <sz val="10"/>
            <color indexed="81"/>
            <rFont val="Tahoma"/>
            <family val="2"/>
            <charset val="238"/>
          </rPr>
          <t>Autorské honoráre pre Honoráre pre autorov článkov SP a licenčné zmluvy.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Autorské honoráre vydávaných kníh VMS podľa edičného plánu 2016, licenčné zmluvy. +5000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Autorské honoráre a licenčné zmluvy za periodické a neperiodické publikácie SHÚ, a príspevky na konferencie SHÚ</t>
        </r>
      </text>
    </comment>
    <comment ref="M2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Autorské honoráre a licenčné zmluvy za periodické a neperiodické publikácie SNV, a príspevky na konferencie SNV.</t>
        </r>
      </text>
    </comment>
    <comment ref="T2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Autorské honoráre v rámci podujatí Hlavných aktivít 2016.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SNN prostredníctvom NEOGRAFIA, a.s. -600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tlačiarenské náklady SP prostredníctvom NEOGRAFIA, a.s.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kníh VMS na základe výsledkov prieskumu trhov na dodávateľov - tlačiarne, vrátane NEOGRAFIA, a.s. pokiaľ ponúkne najlepšiu cenu. -11300</t>
        </r>
      </text>
    </comment>
    <comment ref="I30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prílohy Orol tatranský pre SNN a iné tlačiarenske aktivity, zborníky a pod.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periodických a neperiodických publikácií SHÚ</t>
        </r>
      </text>
    </comment>
    <comment ref="M30" authorId="0">
      <text>
        <r>
          <rPr>
            <sz val="9"/>
            <color indexed="81"/>
            <rFont val="Tahoma"/>
            <family val="2"/>
            <charset val="238"/>
          </rPr>
          <t>Náklady na tlač periodických a neperiodických publikácií SNV, Slováci a národnosti a iné zborníky.-2400</t>
        </r>
      </text>
    </comment>
    <comment ref="T31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Mzdy pre pracovníčky E. Farkašová a J.Gábrišová, ktoré zabezpečujú administratívu všetkých HA MS. </t>
        </r>
      </text>
    </comment>
    <comment ref="U31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Mzdy pre pracovníčky E. Farkašová a J.Gábrišová, ktoré zabezpečujú administratívu všetkých HA MS. </t>
        </r>
      </text>
    </comment>
    <comment ref="H33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+4300</t>
        </r>
      </text>
    </comment>
    <comment ref="I33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-2800</t>
        </r>
      </text>
    </comment>
    <comment ref="J33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-3800</t>
        </r>
      </text>
    </comment>
    <comment ref="U33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-1200</t>
        </r>
      </text>
    </comment>
    <comment ref="H34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+1110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Finančné služby, banky, poisťovne.</t>
        </r>
      </text>
    </comment>
    <comment ref="R39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Finančné služby, banky, poisťovne.</t>
        </r>
      </text>
    </comment>
    <comment ref="G44" authorId="1">
      <text>
        <r>
          <rPr>
            <sz val="9"/>
            <color indexed="81"/>
            <rFont val="Tahoma"/>
            <family val="2"/>
            <charset val="238"/>
          </rPr>
          <t>ceny Slov. Pohľadov 5x330,-
 cena M. Ferku 330,- EUR
zmena: -1180 na 800,- ceny predsedu MS á200</t>
        </r>
      </text>
    </comment>
    <comment ref="Q45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suma všetkých preddavkov na DzP a zaplatená DzP v r. 2017</t>
        </r>
      </text>
    </comment>
    <comment ref="L47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Regálový systém pre Archív MS. Umiestnený bude v 2. budove MS - neštátne výdavky.</t>
        </r>
      </text>
    </comment>
    <comment ref="R47" authorId="0">
      <text>
        <r>
          <rPr>
            <sz val="9"/>
            <color indexed="81"/>
            <rFont val="Tahoma"/>
            <family val="2"/>
            <charset val="238"/>
          </rPr>
          <t>Opravy a rekonštrukcie nehnuteľností  MS. Štátne aj neštátne výdavky. V tom:  komplet. Výmena kúrenia v Matič. Dome ( 7 000) + rekonštrukcia hromozvodov na 2. budove MS ( 13 400).</t>
        </r>
      </text>
    </comment>
    <comment ref="C4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+1000</t>
        </r>
      </text>
    </comment>
    <comment ref="C53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+4215</t>
        </r>
      </text>
    </comment>
  </commentList>
</comments>
</file>

<file path=xl/comments2.xml><?xml version="1.0" encoding="utf-8"?>
<comments xmlns="http://schemas.openxmlformats.org/spreadsheetml/2006/main">
  <authors>
    <author>Ondrejčo Miroslav</author>
    <author>Jaroslav Gustiňák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PC, monitor, usb, nábytok, stôl, regály do reg. strediska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9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zníženie o 300,- Arch konferencia bude v MT</t>
        </r>
      </text>
    </comment>
    <comment ref="C20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navýšenie o 370,- EUR - občerstvenie pre účastníkov Archívnej konferencie</t>
        </r>
      </text>
    </comment>
    <comment ref="C28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Ročná aktualizácia programu Clavius, 
ak bude treba 300 na SW fotoarchív , presunie sa z Akvizície ( obe sú NŠ)
</t>
        </r>
      </text>
    </comment>
    <comment ref="C38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47" authorId="1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Regálový systém pre Archív MS. Umiestnený bude v 2. budove MS. NŠ.</t>
        </r>
      </text>
    </comment>
  </commentList>
</comments>
</file>

<file path=xl/sharedStrings.xml><?xml version="1.0" encoding="utf-8"?>
<sst xmlns="http://schemas.openxmlformats.org/spreadsheetml/2006/main" count="155" uniqueCount="95">
  <si>
    <t>Dozorný výbor MS</t>
  </si>
  <si>
    <t>Slovenský literárny ústav MS</t>
  </si>
  <si>
    <t>Archív MS</t>
  </si>
  <si>
    <t>Slovenský historický ústav MS</t>
  </si>
  <si>
    <t>Členské ústredie MS</t>
  </si>
  <si>
    <t>Informačné ústredie MS</t>
  </si>
  <si>
    <t>Požičovňa kostýmov a krojov</t>
  </si>
  <si>
    <t>Opravy a údržba</t>
  </si>
  <si>
    <t>Cestovné</t>
  </si>
  <si>
    <t>Náklady na reprezentáciu</t>
  </si>
  <si>
    <t>z toho: mzdy</t>
  </si>
  <si>
    <t>ostatné osobné náklady</t>
  </si>
  <si>
    <t xml:space="preserve">Zákonné sociálne poistenie </t>
  </si>
  <si>
    <t>Zákonné sociálne náklady</t>
  </si>
  <si>
    <t>Daň z nehnuteľností</t>
  </si>
  <si>
    <t>Ostatné dane a poplatky</t>
  </si>
  <si>
    <t>Iné ostatné náklady</t>
  </si>
  <si>
    <t>Daň z príjmov</t>
  </si>
  <si>
    <t>SPOLU</t>
  </si>
  <si>
    <t>Krajanské múzeum MS</t>
  </si>
  <si>
    <t xml:space="preserve">Rozpočtová rezerva </t>
  </si>
  <si>
    <t>Príspevky fyz. osobám</t>
  </si>
  <si>
    <t xml:space="preserve">Nákladová položka/                       útvary, pracoviská  </t>
  </si>
  <si>
    <t>Stredisko národ-nostných vzťahov MS</t>
  </si>
  <si>
    <t>Slovenské pohľady</t>
  </si>
  <si>
    <t>Slovenské národné noviny</t>
  </si>
  <si>
    <t>Sekretariát PaS MS, P MS, V MS a vedné ústredie</t>
  </si>
  <si>
    <t>Ostatné náklady (akvízicia)</t>
  </si>
  <si>
    <t>Projekty OMM</t>
  </si>
  <si>
    <t>Grantová agentúra MS</t>
  </si>
  <si>
    <t>Spotreba materiálu spolu</t>
  </si>
  <si>
    <t>z toho PHM</t>
  </si>
  <si>
    <t>spotrebný materiál</t>
  </si>
  <si>
    <t>knihy do príručky</t>
  </si>
  <si>
    <t>drobný hmotný majetok</t>
  </si>
  <si>
    <t>Spotreba energie spolu</t>
  </si>
  <si>
    <t>z toho elektrická energia</t>
  </si>
  <si>
    <t>voda</t>
  </si>
  <si>
    <t>para</t>
  </si>
  <si>
    <t>plyn</t>
  </si>
  <si>
    <t>Ostatné služby spolu</t>
  </si>
  <si>
    <t>výkony spojov a poštovné</t>
  </si>
  <si>
    <t>závodné stravovanie</t>
  </si>
  <si>
    <t>školenie</t>
  </si>
  <si>
    <t>služby</t>
  </si>
  <si>
    <t>realizácia výstav</t>
  </si>
  <si>
    <t>drobné programy</t>
  </si>
  <si>
    <t>518012</t>
  </si>
  <si>
    <t>518004</t>
  </si>
  <si>
    <t>521</t>
  </si>
  <si>
    <t>Mzdové náklady</t>
  </si>
  <si>
    <t>z toho bankové poplatky</t>
  </si>
  <si>
    <t>ostatné n. (ďiaľ.popl,popl. notárovi)</t>
  </si>
  <si>
    <t>poplatky za vedenie účtu CP (akcií)</t>
  </si>
  <si>
    <t>549xxx</t>
  </si>
  <si>
    <t xml:space="preserve">poistné </t>
  </si>
  <si>
    <t xml:space="preserve">Opravy a investície </t>
  </si>
  <si>
    <t>Vypracoval: Jaroslav Gustiňák</t>
  </si>
  <si>
    <t>Hlavné aktivity</t>
  </si>
  <si>
    <t>FEÚ MS a správca MS</t>
  </si>
  <si>
    <t>TIÚ MS</t>
  </si>
  <si>
    <t>Projekt účelovej dotácie MK SR</t>
  </si>
  <si>
    <t>Vydavateľské aktivity MS</t>
  </si>
  <si>
    <t>Veda a výskum MS</t>
  </si>
  <si>
    <t>Aktivity ČÚ a OS MS a SNV MS</t>
  </si>
  <si>
    <t>IÚ MS</t>
  </si>
  <si>
    <t>Hlavné aktivity MS</t>
  </si>
  <si>
    <t xml:space="preserve">Finančné vzťahy a technická prevádzka </t>
  </si>
  <si>
    <t>Dotácia Korunového účtu</t>
  </si>
  <si>
    <t xml:space="preserve">autorské honoráre </t>
  </si>
  <si>
    <t xml:space="preserve">tlačiarenské náklady </t>
  </si>
  <si>
    <t>nájomné</t>
  </si>
  <si>
    <t>Medzinárodný letný tábor MS</t>
  </si>
  <si>
    <t>Záväzky z minulých období</t>
  </si>
  <si>
    <t xml:space="preserve">Zmena </t>
  </si>
  <si>
    <t>Inštitút vzdelávania MS</t>
  </si>
  <si>
    <t>Medzinár. svet. Fest. Slov. mládeže</t>
  </si>
  <si>
    <t>Valné zhromaždenie MS</t>
  </si>
  <si>
    <t>Činnosť DV MS a VZ MS</t>
  </si>
  <si>
    <t>Grant podpory regionálnych aktivít MO a ZO</t>
  </si>
  <si>
    <t>Financovanie bez štátnej dotácie</t>
  </si>
  <si>
    <t>Vydavateľstvo MS a periodiká Slovensko, KS</t>
  </si>
  <si>
    <t>Oblastné strediská MS (OS MS)</t>
  </si>
  <si>
    <t>Všetko nešátne výdavky Matice slovenskej na rok 2017</t>
  </si>
  <si>
    <t>Suma spolu, rozpočet 2016, rozdiel 2017-2016</t>
  </si>
  <si>
    <t>Výdavková časť rozpočtu Matice slovenskej na rok 2017 - návrh č.3</t>
  </si>
  <si>
    <t>Všetko neštátne výdavky Matice slovenskej na rok 2017</t>
  </si>
  <si>
    <t>Grantová agentúra</t>
  </si>
  <si>
    <t>Podpora vedeckých aktivít MS</t>
  </si>
  <si>
    <t>Výdavková časť rozpočtu Matice slovenskej na rok 2017  -  zmena rozpočtu č.2</t>
  </si>
  <si>
    <t xml:space="preserve">Schválený </t>
  </si>
  <si>
    <t xml:space="preserve">Návrh </t>
  </si>
  <si>
    <t>Rozpočet útvar/nákl. Stredisko - Zmena</t>
  </si>
  <si>
    <t>Rozpočet útvar/nákl. Stredisko - Návrh</t>
  </si>
  <si>
    <t>Rozpočet útvar/nákl. Stredisko- schv.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</si>
</sst>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b/>
      <sz val="14"/>
      <name val="Times New Roman"/>
      <family val="1"/>
    </font>
    <font>
      <sz val="14"/>
      <name val="Arial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sz val="8.5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rgb="FF00B050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9"/>
      <color rgb="FF7030A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0" xfId="0" applyFill="1" applyBorder="1"/>
    <xf numFmtId="0" fontId="6" fillId="6" borderId="1" xfId="0" applyNumberFormat="1" applyFont="1" applyFill="1" applyBorder="1" applyAlignment="1">
      <alignment horizontal="center"/>
    </xf>
    <xf numFmtId="49" fontId="7" fillId="6" borderId="3" xfId="0" applyNumberFormat="1" applyFont="1" applyFill="1" applyBorder="1"/>
    <xf numFmtId="0" fontId="6" fillId="0" borderId="1" xfId="0" applyNumberFormat="1" applyFont="1" applyBorder="1" applyAlignment="1">
      <alignment horizontal="center"/>
    </xf>
    <xf numFmtId="49" fontId="7" fillId="0" borderId="3" xfId="0" applyNumberFormat="1" applyFont="1" applyBorder="1"/>
    <xf numFmtId="49" fontId="7" fillId="0" borderId="1" xfId="0" applyNumberFormat="1" applyFont="1" applyBorder="1"/>
    <xf numFmtId="0" fontId="6" fillId="3" borderId="1" xfId="0" applyNumberFormat="1" applyFont="1" applyFill="1" applyBorder="1" applyAlignment="1">
      <alignment horizontal="center"/>
    </xf>
    <xf numFmtId="49" fontId="7" fillId="3" borderId="3" xfId="0" applyNumberFormat="1" applyFont="1" applyFill="1" applyBorder="1"/>
    <xf numFmtId="49" fontId="6" fillId="0" borderId="1" xfId="0" applyNumberFormat="1" applyFont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7" fillId="5" borderId="3" xfId="0" applyNumberFormat="1" applyFont="1" applyFill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6" fillId="0" borderId="0" xfId="0" applyFont="1"/>
    <xf numFmtId="0" fontId="9" fillId="3" borderId="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3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right"/>
    </xf>
    <xf numFmtId="3" fontId="19" fillId="5" borderId="1" xfId="0" applyNumberFormat="1" applyFont="1" applyFill="1" applyBorder="1" applyAlignment="1">
      <alignment horizontal="right"/>
    </xf>
    <xf numFmtId="3" fontId="19" fillId="6" borderId="4" xfId="0" applyNumberFormat="1" applyFont="1" applyFill="1" applyBorder="1" applyAlignment="1">
      <alignment horizontal="right"/>
    </xf>
    <xf numFmtId="3" fontId="19" fillId="3" borderId="4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3" fontId="19" fillId="6" borderId="1" xfId="0" applyNumberFormat="1" applyFont="1" applyFill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19" fillId="3" borderId="1" xfId="0" applyNumberFormat="1" applyFont="1" applyFill="1" applyBorder="1" applyAlignment="1">
      <alignment horizontal="right"/>
    </xf>
    <xf numFmtId="0" fontId="13" fillId="0" borderId="1" xfId="0" applyFont="1" applyBorder="1"/>
    <xf numFmtId="0" fontId="13" fillId="3" borderId="1" xfId="0" applyFont="1" applyFill="1" applyBorder="1"/>
    <xf numFmtId="0" fontId="19" fillId="0" borderId="1" xfId="0" applyFont="1" applyBorder="1"/>
    <xf numFmtId="0" fontId="12" fillId="0" borderId="1" xfId="0" applyFont="1" applyBorder="1"/>
    <xf numFmtId="0" fontId="12" fillId="0" borderId="1" xfId="0" applyFont="1" applyFill="1" applyBorder="1"/>
    <xf numFmtId="0" fontId="12" fillId="3" borderId="1" xfId="0" applyFont="1" applyFill="1" applyBorder="1"/>
    <xf numFmtId="3" fontId="12" fillId="3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8" fillId="7" borderId="1" xfId="0" applyNumberFormat="1" applyFont="1" applyFill="1" applyBorder="1" applyAlignment="1">
      <alignment horizontal="right"/>
    </xf>
    <xf numFmtId="3" fontId="19" fillId="0" borderId="1" xfId="0" applyNumberFormat="1" applyFont="1" applyBorder="1" applyAlignment="1"/>
    <xf numFmtId="3" fontId="18" fillId="4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/>
    <xf numFmtId="3" fontId="19" fillId="0" borderId="2" xfId="0" applyNumberFormat="1" applyFont="1" applyBorder="1" applyAlignment="1">
      <alignment horizontal="right"/>
    </xf>
    <xf numFmtId="3" fontId="19" fillId="3" borderId="2" xfId="0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3" fontId="18" fillId="5" borderId="1" xfId="0" applyNumberFormat="1" applyFont="1" applyFill="1" applyBorder="1" applyAlignment="1">
      <alignment horizontal="left"/>
    </xf>
    <xf numFmtId="1" fontId="4" fillId="3" borderId="0" xfId="0" applyNumberFormat="1" applyFont="1" applyFill="1" applyBorder="1"/>
    <xf numFmtId="1" fontId="0" fillId="3" borderId="0" xfId="0" applyNumberFormat="1" applyFill="1" applyBorder="1"/>
    <xf numFmtId="1" fontId="2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/>
    <xf numFmtId="1" fontId="19" fillId="16" borderId="1" xfId="0" applyNumberFormat="1" applyFont="1" applyFill="1" applyBorder="1"/>
    <xf numFmtId="1" fontId="0" fillId="0" borderId="0" xfId="0" applyNumberFormat="1"/>
    <xf numFmtId="0" fontId="12" fillId="8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12" fillId="15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/>
    <xf numFmtId="3" fontId="25" fillId="3" borderId="1" xfId="0" applyNumberFormat="1" applyFont="1" applyFill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5" fillId="3" borderId="4" xfId="0" applyNumberFormat="1" applyFont="1" applyFill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3" borderId="1" xfId="0" applyNumberFormat="1" applyFont="1" applyFill="1" applyBorder="1" applyAlignment="1"/>
    <xf numFmtId="3" fontId="18" fillId="16" borderId="1" xfId="0" applyNumberFormat="1" applyFont="1" applyFill="1" applyBorder="1" applyAlignment="1">
      <alignment horizontal="right"/>
    </xf>
    <xf numFmtId="49" fontId="5" fillId="16" borderId="4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/>
    </xf>
    <xf numFmtId="3" fontId="18" fillId="16" borderId="1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0" fontId="0" fillId="0" borderId="12" xfId="0" applyBorder="1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zoomScale="91" zoomScaleNormal="91" workbookViewId="0">
      <selection activeCell="P32" sqref="P32"/>
    </sheetView>
  </sheetViews>
  <sheetFormatPr defaultRowHeight="12.75" x14ac:dyDescent="0.2"/>
  <cols>
    <col min="1" max="1" width="7.85546875" customWidth="1"/>
    <col min="2" max="2" width="29.140625" customWidth="1"/>
    <col min="3" max="3" width="10.85546875" customWidth="1"/>
    <col min="4" max="4" width="6.7109375" customWidth="1"/>
    <col min="5" max="5" width="7.140625" customWidth="1"/>
    <col min="6" max="7" width="7.42578125" customWidth="1"/>
    <col min="8" max="8" width="10" customWidth="1"/>
    <col min="9" max="9" width="7.28515625" customWidth="1"/>
    <col min="10" max="10" width="7.7109375" customWidth="1"/>
    <col min="11" max="11" width="7.140625" customWidth="1"/>
    <col min="12" max="12" width="6.7109375" customWidth="1"/>
    <col min="13" max="13" width="8.5703125" customWidth="1"/>
    <col min="14" max="14" width="7.140625" customWidth="1"/>
    <col min="15" max="15" width="8.7109375" customWidth="1"/>
    <col min="16" max="16" width="8.140625" customWidth="1"/>
    <col min="17" max="17" width="6.7109375" customWidth="1"/>
    <col min="18" max="18" width="7.28515625" customWidth="1"/>
    <col min="19" max="19" width="8.28515625" customWidth="1"/>
    <col min="20" max="20" width="6.42578125" customWidth="1"/>
    <col min="21" max="21" width="8.42578125" customWidth="1"/>
    <col min="22" max="22" width="8.140625" customWidth="1"/>
    <col min="23" max="23" width="8.5703125" style="73" customWidth="1"/>
    <col min="24" max="24" width="6.42578125" style="73" customWidth="1"/>
    <col min="25" max="25" width="2.7109375" hidden="1" customWidth="1"/>
    <col min="26" max="26" width="9.140625" hidden="1" customWidth="1"/>
  </cols>
  <sheetData>
    <row r="1" spans="1:26" ht="21" x14ac:dyDescent="0.25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82"/>
      <c r="V1" s="78"/>
      <c r="W1" s="68"/>
      <c r="X1" s="68"/>
    </row>
    <row r="2" spans="1:26" ht="42.75" customHeight="1" x14ac:dyDescent="0.2">
      <c r="A2" s="108" t="s">
        <v>61</v>
      </c>
      <c r="B2" s="109"/>
      <c r="C2" s="111" t="s">
        <v>80</v>
      </c>
      <c r="D2" s="112"/>
      <c r="E2" s="81" t="s">
        <v>78</v>
      </c>
      <c r="F2" s="106" t="s">
        <v>62</v>
      </c>
      <c r="G2" s="107"/>
      <c r="H2" s="107"/>
      <c r="I2" s="110" t="s">
        <v>63</v>
      </c>
      <c r="J2" s="110"/>
      <c r="K2" s="110"/>
      <c r="L2" s="74" t="s">
        <v>2</v>
      </c>
      <c r="M2" s="102" t="s">
        <v>64</v>
      </c>
      <c r="N2" s="103"/>
      <c r="O2" s="103"/>
      <c r="P2" s="36" t="s">
        <v>65</v>
      </c>
      <c r="Q2" s="104" t="s">
        <v>67</v>
      </c>
      <c r="R2" s="105"/>
      <c r="S2" s="37" t="s">
        <v>6</v>
      </c>
      <c r="T2" s="79" t="s">
        <v>66</v>
      </c>
      <c r="U2" s="81" t="s">
        <v>88</v>
      </c>
      <c r="V2" s="101" t="s">
        <v>84</v>
      </c>
      <c r="W2" s="101"/>
      <c r="X2" s="101"/>
      <c r="Z2">
        <v>1.0169999999999999</v>
      </c>
    </row>
    <row r="3" spans="1:26" ht="45" x14ac:dyDescent="0.2">
      <c r="A3" s="27" t="s">
        <v>22</v>
      </c>
      <c r="B3" s="75"/>
      <c r="C3" s="76" t="s">
        <v>26</v>
      </c>
      <c r="D3" s="76" t="s">
        <v>77</v>
      </c>
      <c r="E3" s="76" t="s">
        <v>0</v>
      </c>
      <c r="F3" s="76" t="s">
        <v>25</v>
      </c>
      <c r="G3" s="76" t="s">
        <v>24</v>
      </c>
      <c r="H3" s="76" t="s">
        <v>81</v>
      </c>
      <c r="I3" s="76" t="s">
        <v>1</v>
      </c>
      <c r="J3" s="76" t="s">
        <v>3</v>
      </c>
      <c r="K3" s="76" t="s">
        <v>19</v>
      </c>
      <c r="L3" s="76" t="s">
        <v>2</v>
      </c>
      <c r="M3" s="76" t="s">
        <v>23</v>
      </c>
      <c r="N3" s="76" t="s">
        <v>4</v>
      </c>
      <c r="O3" s="76" t="s">
        <v>82</v>
      </c>
      <c r="P3" s="76" t="s">
        <v>5</v>
      </c>
      <c r="Q3" s="76" t="s">
        <v>59</v>
      </c>
      <c r="R3" s="76" t="s">
        <v>60</v>
      </c>
      <c r="S3" s="76" t="s">
        <v>6</v>
      </c>
      <c r="T3" s="77" t="s">
        <v>58</v>
      </c>
      <c r="U3" s="77" t="s">
        <v>87</v>
      </c>
      <c r="V3" s="34" t="s">
        <v>91</v>
      </c>
      <c r="W3" s="34" t="s">
        <v>90</v>
      </c>
      <c r="X3" s="70" t="s">
        <v>74</v>
      </c>
    </row>
    <row r="4" spans="1:26" ht="12.75" hidden="1" customHeight="1" x14ac:dyDescent="0.2">
      <c r="A4" s="28"/>
      <c r="B4" s="29"/>
      <c r="C4" s="25"/>
      <c r="D4" s="25"/>
      <c r="E4" s="25"/>
      <c r="F4" s="25"/>
      <c r="G4" s="25"/>
      <c r="H4" s="32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4"/>
      <c r="W4" s="34"/>
      <c r="X4" s="70"/>
    </row>
    <row r="5" spans="1:26" ht="12.75" hidden="1" customHeight="1" x14ac:dyDescent="0.2">
      <c r="A5" s="28"/>
      <c r="B5" s="29"/>
      <c r="C5" s="25"/>
      <c r="D5" s="25"/>
      <c r="E5" s="25"/>
      <c r="F5" s="25"/>
      <c r="G5" s="25"/>
      <c r="H5" s="3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4"/>
      <c r="W5" s="34"/>
      <c r="X5" s="70"/>
    </row>
    <row r="6" spans="1:26" ht="12.75" hidden="1" customHeight="1" x14ac:dyDescent="0.2">
      <c r="A6" s="28"/>
      <c r="B6" s="29"/>
      <c r="C6" s="25"/>
      <c r="D6" s="25"/>
      <c r="E6" s="25"/>
      <c r="F6" s="25"/>
      <c r="G6" s="25"/>
      <c r="H6" s="32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4"/>
      <c r="W6" s="34"/>
      <c r="X6" s="70"/>
    </row>
    <row r="7" spans="1:26" ht="12.75" hidden="1" customHeight="1" x14ac:dyDescent="0.2">
      <c r="A7" s="30"/>
      <c r="B7" s="31"/>
      <c r="C7" s="26"/>
      <c r="D7" s="26"/>
      <c r="E7" s="26"/>
      <c r="F7" s="26"/>
      <c r="G7" s="26"/>
      <c r="H7" s="3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5"/>
      <c r="U7" s="25"/>
      <c r="V7" s="34"/>
      <c r="W7" s="34"/>
      <c r="X7" s="70"/>
    </row>
    <row r="8" spans="1:26" x14ac:dyDescent="0.2">
      <c r="A8" s="2">
        <v>501</v>
      </c>
      <c r="B8" s="3" t="s">
        <v>30</v>
      </c>
      <c r="C8" s="40">
        <f t="shared" ref="C8:P8" si="0">SUM(C9:C12)</f>
        <v>2150</v>
      </c>
      <c r="D8" s="40">
        <f t="shared" ref="D8" si="1">SUM(D9:D12)</f>
        <v>500</v>
      </c>
      <c r="E8" s="40">
        <f t="shared" ref="E8" si="2">SUM(E9:E12)</f>
        <v>350</v>
      </c>
      <c r="F8" s="40">
        <f>SUM(F9:F12)</f>
        <v>500</v>
      </c>
      <c r="G8" s="40">
        <f t="shared" ref="G8:H8" si="3">SUM(G9:G12)</f>
        <v>450</v>
      </c>
      <c r="H8" s="40">
        <f t="shared" si="3"/>
        <v>1200</v>
      </c>
      <c r="I8" s="40">
        <f t="shared" si="0"/>
        <v>600</v>
      </c>
      <c r="J8" s="40">
        <f t="shared" si="0"/>
        <v>500</v>
      </c>
      <c r="K8" s="40">
        <f t="shared" ref="K8" si="4">SUM(K9:K12)</f>
        <v>1020</v>
      </c>
      <c r="L8" s="40">
        <f t="shared" si="0"/>
        <v>1500</v>
      </c>
      <c r="M8" s="40">
        <f t="shared" ref="M8:N8" si="5">SUM(M9:M12)</f>
        <v>700</v>
      </c>
      <c r="N8" s="40">
        <f t="shared" si="5"/>
        <v>1700</v>
      </c>
      <c r="O8" s="40">
        <f t="shared" si="0"/>
        <v>7150</v>
      </c>
      <c r="P8" s="40">
        <f t="shared" si="0"/>
        <v>600</v>
      </c>
      <c r="Q8" s="40">
        <f>SUM(Q9:Q12)</f>
        <v>2850</v>
      </c>
      <c r="R8" s="40">
        <f>SUM(R9:R12)</f>
        <v>14100</v>
      </c>
      <c r="S8" s="40">
        <f>SUM(S9:S12)</f>
        <v>4510</v>
      </c>
      <c r="T8" s="40"/>
      <c r="U8" s="40"/>
      <c r="V8" s="38">
        <f t="shared" ref="V8:V54" si="6">SUM(C8:U8)</f>
        <v>40380</v>
      </c>
      <c r="W8" s="38">
        <v>37180</v>
      </c>
      <c r="X8" s="71">
        <f t="shared" ref="X8:X39" si="7">V8-W8</f>
        <v>3200</v>
      </c>
    </row>
    <row r="9" spans="1:26" x14ac:dyDescent="0.2">
      <c r="A9" s="4">
        <v>501001</v>
      </c>
      <c r="B9" s="5" t="s">
        <v>31</v>
      </c>
      <c r="C9" s="41">
        <v>0</v>
      </c>
      <c r="D9" s="42"/>
      <c r="E9" s="42"/>
      <c r="F9" s="41"/>
      <c r="G9" s="41"/>
      <c r="H9" s="41"/>
      <c r="I9" s="42"/>
      <c r="J9" s="41"/>
      <c r="K9" s="42"/>
      <c r="L9" s="41"/>
      <c r="M9" s="41"/>
      <c r="N9" s="41"/>
      <c r="O9" s="43">
        <v>0</v>
      </c>
      <c r="P9" s="41"/>
      <c r="Q9" s="41"/>
      <c r="R9" s="91">
        <v>6000</v>
      </c>
      <c r="S9" s="43"/>
      <c r="T9" s="41"/>
      <c r="U9" s="41"/>
      <c r="V9" s="39">
        <f t="shared" si="6"/>
        <v>6000</v>
      </c>
      <c r="W9" s="39">
        <v>5000</v>
      </c>
      <c r="X9" s="72">
        <f t="shared" si="7"/>
        <v>1000</v>
      </c>
    </row>
    <row r="10" spans="1:26" x14ac:dyDescent="0.2">
      <c r="A10" s="4">
        <v>501002</v>
      </c>
      <c r="B10" s="5" t="s">
        <v>32</v>
      </c>
      <c r="C10" s="41">
        <v>1400</v>
      </c>
      <c r="D10" s="42">
        <v>500</v>
      </c>
      <c r="E10" s="42">
        <v>350</v>
      </c>
      <c r="F10" s="41">
        <v>150</v>
      </c>
      <c r="G10" s="41">
        <v>350</v>
      </c>
      <c r="H10" s="89">
        <v>800</v>
      </c>
      <c r="I10" s="90">
        <v>500</v>
      </c>
      <c r="J10" s="41">
        <v>200</v>
      </c>
      <c r="K10" s="41">
        <v>400</v>
      </c>
      <c r="L10" s="41">
        <v>600</v>
      </c>
      <c r="M10" s="41">
        <v>350</v>
      </c>
      <c r="N10" s="89">
        <v>1200</v>
      </c>
      <c r="O10" s="43">
        <v>5600</v>
      </c>
      <c r="P10" s="41">
        <v>300</v>
      </c>
      <c r="Q10" s="89">
        <v>1500</v>
      </c>
      <c r="R10" s="43">
        <v>6300</v>
      </c>
      <c r="S10" s="43">
        <v>3540</v>
      </c>
      <c r="T10" s="41"/>
      <c r="U10" s="41"/>
      <c r="V10" s="39">
        <f t="shared" si="6"/>
        <v>24040</v>
      </c>
      <c r="W10" s="39">
        <v>22340</v>
      </c>
      <c r="X10" s="72">
        <f t="shared" si="7"/>
        <v>1700</v>
      </c>
    </row>
    <row r="11" spans="1:26" x14ac:dyDescent="0.2">
      <c r="A11" s="4">
        <v>501004</v>
      </c>
      <c r="B11" s="8" t="s">
        <v>33</v>
      </c>
      <c r="C11" s="41">
        <v>150</v>
      </c>
      <c r="D11" s="42"/>
      <c r="E11" s="42"/>
      <c r="F11" s="41"/>
      <c r="G11" s="41">
        <v>50</v>
      </c>
      <c r="H11" s="41">
        <v>100</v>
      </c>
      <c r="I11" s="42">
        <v>100</v>
      </c>
      <c r="J11" s="41">
        <v>200</v>
      </c>
      <c r="K11" s="43">
        <v>220</v>
      </c>
      <c r="L11" s="41">
        <v>300</v>
      </c>
      <c r="M11" s="41"/>
      <c r="N11" s="41"/>
      <c r="O11" s="43">
        <v>130</v>
      </c>
      <c r="P11" s="41"/>
      <c r="Q11" s="41">
        <v>250</v>
      </c>
      <c r="R11" s="43">
        <v>200</v>
      </c>
      <c r="S11" s="41">
        <v>100</v>
      </c>
      <c r="T11" s="41"/>
      <c r="U11" s="41"/>
      <c r="V11" s="39">
        <f t="shared" si="6"/>
        <v>1800</v>
      </c>
      <c r="W11" s="39">
        <v>1800</v>
      </c>
      <c r="X11" s="72">
        <f t="shared" si="7"/>
        <v>0</v>
      </c>
    </row>
    <row r="12" spans="1:26" x14ac:dyDescent="0.2">
      <c r="A12" s="4">
        <v>501006</v>
      </c>
      <c r="B12" s="5" t="s">
        <v>34</v>
      </c>
      <c r="C12" s="41">
        <v>600</v>
      </c>
      <c r="D12" s="42"/>
      <c r="E12" s="42"/>
      <c r="F12" s="41">
        <v>350</v>
      </c>
      <c r="G12" s="41">
        <v>50</v>
      </c>
      <c r="H12" s="41">
        <v>300</v>
      </c>
      <c r="I12" s="41"/>
      <c r="J12" s="41">
        <v>100</v>
      </c>
      <c r="K12" s="42">
        <v>400</v>
      </c>
      <c r="L12" s="43">
        <v>600</v>
      </c>
      <c r="M12" s="41">
        <v>350</v>
      </c>
      <c r="N12" s="41">
        <v>500</v>
      </c>
      <c r="O12" s="43">
        <v>1420</v>
      </c>
      <c r="P12" s="41">
        <v>300</v>
      </c>
      <c r="Q12" s="41">
        <v>1100</v>
      </c>
      <c r="R12" s="91">
        <v>1600</v>
      </c>
      <c r="S12" s="41">
        <v>870</v>
      </c>
      <c r="T12" s="41"/>
      <c r="U12" s="41"/>
      <c r="V12" s="39">
        <f t="shared" si="6"/>
        <v>8540</v>
      </c>
      <c r="W12" s="39">
        <v>8040</v>
      </c>
      <c r="X12" s="72">
        <f t="shared" si="7"/>
        <v>500</v>
      </c>
    </row>
    <row r="13" spans="1:26" x14ac:dyDescent="0.2">
      <c r="A13" s="2">
        <v>502</v>
      </c>
      <c r="B13" s="3" t="s">
        <v>35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>
        <f>O14+O15+O16+O17+P16</f>
        <v>63019</v>
      </c>
      <c r="P13" s="44"/>
      <c r="Q13" s="44"/>
      <c r="R13" s="44">
        <f>SUM(R14:R17)</f>
        <v>57100</v>
      </c>
      <c r="S13" s="44"/>
      <c r="T13" s="44"/>
      <c r="U13" s="44"/>
      <c r="V13" s="38">
        <f t="shared" si="6"/>
        <v>120119</v>
      </c>
      <c r="W13" s="38">
        <v>120619</v>
      </c>
      <c r="X13" s="71">
        <f t="shared" si="7"/>
        <v>-500</v>
      </c>
    </row>
    <row r="14" spans="1:26" x14ac:dyDescent="0.2">
      <c r="A14" s="4">
        <v>502000</v>
      </c>
      <c r="B14" s="5" t="s">
        <v>36</v>
      </c>
      <c r="C14" s="45"/>
      <c r="D14" s="45"/>
      <c r="E14" s="45"/>
      <c r="F14" s="46"/>
      <c r="G14" s="46"/>
      <c r="H14" s="46"/>
      <c r="I14" s="45"/>
      <c r="J14" s="47"/>
      <c r="K14" s="45"/>
      <c r="L14" s="46"/>
      <c r="M14" s="48"/>
      <c r="N14" s="45"/>
      <c r="O14" s="45">
        <v>15323</v>
      </c>
      <c r="P14" s="46"/>
      <c r="Q14" s="46"/>
      <c r="R14" s="85">
        <v>11000</v>
      </c>
      <c r="S14" s="45"/>
      <c r="T14" s="45"/>
      <c r="U14" s="45"/>
      <c r="V14" s="39">
        <f t="shared" si="6"/>
        <v>26323</v>
      </c>
      <c r="W14" s="39">
        <v>26823</v>
      </c>
      <c r="X14" s="72">
        <f t="shared" si="7"/>
        <v>-500</v>
      </c>
    </row>
    <row r="15" spans="1:26" x14ac:dyDescent="0.2">
      <c r="A15" s="4">
        <v>502001</v>
      </c>
      <c r="B15" s="5" t="s">
        <v>37</v>
      </c>
      <c r="C15" s="45"/>
      <c r="D15" s="45"/>
      <c r="E15" s="45"/>
      <c r="F15" s="46"/>
      <c r="G15" s="46"/>
      <c r="H15" s="46"/>
      <c r="I15" s="45"/>
      <c r="J15" s="47"/>
      <c r="K15" s="45"/>
      <c r="L15" s="46"/>
      <c r="M15" s="48"/>
      <c r="N15" s="45"/>
      <c r="O15" s="47">
        <v>2839</v>
      </c>
      <c r="P15" s="46"/>
      <c r="Q15" s="46"/>
      <c r="R15" s="48">
        <v>2400</v>
      </c>
      <c r="S15" s="45"/>
      <c r="T15" s="45"/>
      <c r="U15" s="45"/>
      <c r="V15" s="39">
        <f t="shared" si="6"/>
        <v>5239</v>
      </c>
      <c r="W15" s="39">
        <v>5239</v>
      </c>
      <c r="X15" s="72">
        <f t="shared" si="7"/>
        <v>0</v>
      </c>
    </row>
    <row r="16" spans="1:26" x14ac:dyDescent="0.2">
      <c r="A16" s="4">
        <v>502002</v>
      </c>
      <c r="B16" s="6" t="s">
        <v>38</v>
      </c>
      <c r="C16" s="45"/>
      <c r="D16" s="45"/>
      <c r="E16" s="45"/>
      <c r="F16" s="46"/>
      <c r="G16" s="46"/>
      <c r="H16" s="46"/>
      <c r="I16" s="45"/>
      <c r="J16" s="47"/>
      <c r="K16" s="45"/>
      <c r="L16" s="46"/>
      <c r="M16" s="48"/>
      <c r="N16" s="45"/>
      <c r="O16" s="47">
        <v>11917</v>
      </c>
      <c r="P16" s="46"/>
      <c r="Q16" s="46"/>
      <c r="R16" s="48">
        <v>41000</v>
      </c>
      <c r="S16" s="45"/>
      <c r="T16" s="45"/>
      <c r="U16" s="45"/>
      <c r="V16" s="39">
        <f t="shared" si="6"/>
        <v>52917</v>
      </c>
      <c r="W16" s="39">
        <v>52917</v>
      </c>
      <c r="X16" s="72">
        <f t="shared" si="7"/>
        <v>0</v>
      </c>
    </row>
    <row r="17" spans="1:24" x14ac:dyDescent="0.2">
      <c r="A17" s="4">
        <v>502003</v>
      </c>
      <c r="B17" s="6" t="s">
        <v>39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49"/>
      <c r="O17" s="47">
        <v>32940</v>
      </c>
      <c r="P17" s="49"/>
      <c r="Q17" s="49"/>
      <c r="R17" s="48">
        <v>2700</v>
      </c>
      <c r="S17" s="49"/>
      <c r="T17" s="49"/>
      <c r="U17" s="49"/>
      <c r="V17" s="39">
        <f t="shared" si="6"/>
        <v>35640</v>
      </c>
      <c r="W17" s="39">
        <v>35640</v>
      </c>
      <c r="X17" s="72">
        <f t="shared" si="7"/>
        <v>0</v>
      </c>
    </row>
    <row r="18" spans="1:24" x14ac:dyDescent="0.2">
      <c r="A18" s="4">
        <v>511</v>
      </c>
      <c r="B18" s="6" t="s">
        <v>7</v>
      </c>
      <c r="C18" s="86">
        <v>1500</v>
      </c>
      <c r="D18" s="45"/>
      <c r="E18" s="45">
        <v>50</v>
      </c>
      <c r="F18" s="46">
        <v>50</v>
      </c>
      <c r="G18" s="46">
        <v>50</v>
      </c>
      <c r="H18" s="48">
        <v>50</v>
      </c>
      <c r="I18" s="45">
        <v>50</v>
      </c>
      <c r="J18" s="47">
        <v>50</v>
      </c>
      <c r="K18" s="45">
        <v>100</v>
      </c>
      <c r="L18" s="87">
        <v>250</v>
      </c>
      <c r="M18" s="48">
        <v>200</v>
      </c>
      <c r="N18" s="45">
        <v>100</v>
      </c>
      <c r="O18" s="47">
        <v>2970</v>
      </c>
      <c r="P18" s="46">
        <v>50</v>
      </c>
      <c r="Q18" s="88">
        <v>400</v>
      </c>
      <c r="R18" s="48"/>
      <c r="S18" s="45">
        <v>300</v>
      </c>
      <c r="T18" s="45"/>
      <c r="U18" s="45"/>
      <c r="V18" s="38">
        <f t="shared" si="6"/>
        <v>6170</v>
      </c>
      <c r="W18" s="38">
        <v>6620</v>
      </c>
      <c r="X18" s="71">
        <f t="shared" si="7"/>
        <v>-450</v>
      </c>
    </row>
    <row r="19" spans="1:24" x14ac:dyDescent="0.2">
      <c r="A19" s="4">
        <v>512</v>
      </c>
      <c r="B19" s="6" t="s">
        <v>8</v>
      </c>
      <c r="C19" s="85">
        <v>2700</v>
      </c>
      <c r="D19" s="45"/>
      <c r="E19" s="45">
        <v>400</v>
      </c>
      <c r="F19" s="46">
        <v>50</v>
      </c>
      <c r="G19" s="88">
        <v>150</v>
      </c>
      <c r="H19" s="46">
        <v>100</v>
      </c>
      <c r="I19" s="45">
        <v>120</v>
      </c>
      <c r="J19" s="87">
        <v>300</v>
      </c>
      <c r="K19" s="47">
        <v>700</v>
      </c>
      <c r="L19" s="46">
        <v>200</v>
      </c>
      <c r="M19" s="48">
        <v>450</v>
      </c>
      <c r="N19" s="86">
        <v>800</v>
      </c>
      <c r="O19" s="47">
        <v>3750</v>
      </c>
      <c r="P19" s="88">
        <v>250</v>
      </c>
      <c r="Q19" s="46">
        <v>600</v>
      </c>
      <c r="R19" s="85">
        <v>400</v>
      </c>
      <c r="S19" s="45">
        <v>100</v>
      </c>
      <c r="T19" s="45"/>
      <c r="U19" s="45"/>
      <c r="V19" s="38">
        <f t="shared" si="6"/>
        <v>11070</v>
      </c>
      <c r="W19" s="38">
        <v>10050</v>
      </c>
      <c r="X19" s="71">
        <f t="shared" si="7"/>
        <v>1020</v>
      </c>
    </row>
    <row r="20" spans="1:24" x14ac:dyDescent="0.2">
      <c r="A20" s="4">
        <v>513</v>
      </c>
      <c r="B20" s="5" t="s">
        <v>9</v>
      </c>
      <c r="C20" s="45">
        <v>800</v>
      </c>
      <c r="D20" s="45">
        <v>7000</v>
      </c>
      <c r="E20" s="45">
        <v>300</v>
      </c>
      <c r="F20" s="46"/>
      <c r="G20" s="46"/>
      <c r="H20" s="47">
        <v>250</v>
      </c>
      <c r="I20" s="45"/>
      <c r="J20" s="47">
        <v>50</v>
      </c>
      <c r="K20" s="47">
        <v>300</v>
      </c>
      <c r="L20" s="46">
        <v>400</v>
      </c>
      <c r="M20" s="48">
        <v>50</v>
      </c>
      <c r="N20" s="45">
        <v>200</v>
      </c>
      <c r="O20" s="47">
        <v>50</v>
      </c>
      <c r="P20" s="47">
        <v>3000</v>
      </c>
      <c r="Q20" s="46"/>
      <c r="R20" s="48"/>
      <c r="S20" s="45"/>
      <c r="T20" s="45"/>
      <c r="U20" s="45"/>
      <c r="V20" s="38">
        <f t="shared" si="6"/>
        <v>12400</v>
      </c>
      <c r="W20" s="38">
        <v>12400</v>
      </c>
      <c r="X20" s="71">
        <f t="shared" si="7"/>
        <v>0</v>
      </c>
    </row>
    <row r="21" spans="1:24" x14ac:dyDescent="0.2">
      <c r="A21" s="2">
        <v>518</v>
      </c>
      <c r="B21" s="3" t="s">
        <v>40</v>
      </c>
      <c r="C21" s="44">
        <f t="shared" ref="C21:R21" si="8">SUM(C22:C30)</f>
        <v>13150</v>
      </c>
      <c r="D21" s="44">
        <f t="shared" ref="D21" si="9">SUM(D22:D30)</f>
        <v>11700</v>
      </c>
      <c r="E21" s="44">
        <f t="shared" ref="E21" si="10">SUM(E22:E30)</f>
        <v>250</v>
      </c>
      <c r="F21" s="44">
        <f>SUM(F22:F30)</f>
        <v>143800</v>
      </c>
      <c r="G21" s="44">
        <f t="shared" ref="G21:H21" si="11">SUM(G22:G30)</f>
        <v>26700</v>
      </c>
      <c r="H21" s="44">
        <f t="shared" si="11"/>
        <v>72900</v>
      </c>
      <c r="I21" s="44">
        <f t="shared" si="8"/>
        <v>7850</v>
      </c>
      <c r="J21" s="44">
        <f t="shared" si="8"/>
        <v>4000</v>
      </c>
      <c r="K21" s="44">
        <f t="shared" ref="K21" si="12">SUM(K22:K30)</f>
        <v>2300</v>
      </c>
      <c r="L21" s="44">
        <f t="shared" si="8"/>
        <v>350</v>
      </c>
      <c r="M21" s="44">
        <f t="shared" ref="M21" si="13">SUM(M22:M30)</f>
        <v>2965</v>
      </c>
      <c r="N21" s="44">
        <f t="shared" si="8"/>
        <v>400</v>
      </c>
      <c r="O21" s="44">
        <f t="shared" si="8"/>
        <v>21727</v>
      </c>
      <c r="P21" s="44">
        <f t="shared" si="8"/>
        <v>10000</v>
      </c>
      <c r="Q21" s="44">
        <f t="shared" si="8"/>
        <v>1500</v>
      </c>
      <c r="R21" s="44">
        <f t="shared" si="8"/>
        <v>100375</v>
      </c>
      <c r="S21" s="44">
        <f>SUM(S22:S30)</f>
        <v>1400</v>
      </c>
      <c r="T21" s="44">
        <f>SUM(T22:T30)</f>
        <v>46000</v>
      </c>
      <c r="U21" s="44">
        <f>SUM(U22:U30)</f>
        <v>8800</v>
      </c>
      <c r="V21" s="38">
        <f t="shared" si="6"/>
        <v>476167</v>
      </c>
      <c r="W21" s="38">
        <v>483417</v>
      </c>
      <c r="X21" s="71">
        <f t="shared" si="7"/>
        <v>-7250</v>
      </c>
    </row>
    <row r="22" spans="1:24" x14ac:dyDescent="0.2">
      <c r="A22" s="7">
        <v>518001</v>
      </c>
      <c r="B22" s="8" t="s">
        <v>71</v>
      </c>
      <c r="C22" s="45"/>
      <c r="D22" s="45"/>
      <c r="E22" s="45"/>
      <c r="F22" s="46"/>
      <c r="G22" s="46"/>
      <c r="H22" s="47"/>
      <c r="I22" s="45"/>
      <c r="J22" s="47"/>
      <c r="K22" s="45"/>
      <c r="L22" s="46"/>
      <c r="M22" s="48"/>
      <c r="N22" s="48"/>
      <c r="O22" s="47">
        <v>6564</v>
      </c>
      <c r="P22" s="47"/>
      <c r="Q22" s="47"/>
      <c r="R22" s="47">
        <v>18975</v>
      </c>
      <c r="S22" s="45"/>
      <c r="T22" s="45"/>
      <c r="U22" s="45"/>
      <c r="V22" s="39">
        <f t="shared" si="6"/>
        <v>25539</v>
      </c>
      <c r="W22" s="39">
        <v>25539</v>
      </c>
      <c r="X22" s="72">
        <f t="shared" si="7"/>
        <v>0</v>
      </c>
    </row>
    <row r="23" spans="1:24" x14ac:dyDescent="0.2">
      <c r="A23" s="7">
        <v>518002</v>
      </c>
      <c r="B23" s="8" t="s">
        <v>41</v>
      </c>
      <c r="C23" s="48">
        <v>500</v>
      </c>
      <c r="D23" s="45">
        <v>700</v>
      </c>
      <c r="E23" s="45"/>
      <c r="F23" s="88">
        <v>35000</v>
      </c>
      <c r="G23" s="46"/>
      <c r="H23" s="47"/>
      <c r="I23" s="45">
        <v>50</v>
      </c>
      <c r="J23" s="47"/>
      <c r="K23" s="46">
        <v>300</v>
      </c>
      <c r="L23" s="46"/>
      <c r="M23" s="48">
        <v>15</v>
      </c>
      <c r="N23" s="48"/>
      <c r="O23" s="47">
        <v>5080</v>
      </c>
      <c r="P23" s="47"/>
      <c r="Q23" s="47"/>
      <c r="R23" s="47">
        <v>20000</v>
      </c>
      <c r="S23" s="45"/>
      <c r="T23" s="45"/>
      <c r="U23" s="45"/>
      <c r="V23" s="39">
        <f t="shared" si="6"/>
        <v>61645</v>
      </c>
      <c r="W23" s="39">
        <v>59445</v>
      </c>
      <c r="X23" s="72">
        <f t="shared" si="7"/>
        <v>2200</v>
      </c>
    </row>
    <row r="24" spans="1:24" x14ac:dyDescent="0.2">
      <c r="A24" s="7">
        <v>518003</v>
      </c>
      <c r="B24" s="8" t="s">
        <v>42</v>
      </c>
      <c r="C24" s="48"/>
      <c r="D24" s="45"/>
      <c r="E24" s="45"/>
      <c r="F24" s="46"/>
      <c r="G24" s="46"/>
      <c r="H24" s="47"/>
      <c r="I24" s="45"/>
      <c r="J24" s="47"/>
      <c r="K24" s="46"/>
      <c r="L24" s="46"/>
      <c r="M24" s="48"/>
      <c r="N24" s="48"/>
      <c r="O24" s="47"/>
      <c r="P24" s="47"/>
      <c r="Q24" s="47"/>
      <c r="R24" s="47">
        <v>37000</v>
      </c>
      <c r="S24" s="45"/>
      <c r="T24" s="45"/>
      <c r="U24" s="45"/>
      <c r="V24" s="39">
        <f t="shared" si="6"/>
        <v>37000</v>
      </c>
      <c r="W24" s="39">
        <v>37000</v>
      </c>
      <c r="X24" s="72">
        <f t="shared" si="7"/>
        <v>0</v>
      </c>
    </row>
    <row r="25" spans="1:24" x14ac:dyDescent="0.2">
      <c r="A25" s="7">
        <v>518005</v>
      </c>
      <c r="B25" s="8" t="s">
        <v>43</v>
      </c>
      <c r="C25" s="48">
        <v>150</v>
      </c>
      <c r="D25" s="45"/>
      <c r="E25" s="45"/>
      <c r="F25" s="46"/>
      <c r="G25" s="46"/>
      <c r="H25" s="47"/>
      <c r="I25" s="45"/>
      <c r="J25" s="47"/>
      <c r="K25" s="46"/>
      <c r="L25" s="46">
        <v>100</v>
      </c>
      <c r="M25" s="48"/>
      <c r="N25" s="85">
        <v>0</v>
      </c>
      <c r="O25" s="47"/>
      <c r="P25" s="47"/>
      <c r="Q25" s="87">
        <v>1200</v>
      </c>
      <c r="R25" s="47">
        <v>400</v>
      </c>
      <c r="S25" s="45">
        <v>50</v>
      </c>
      <c r="T25" s="45"/>
      <c r="U25" s="45"/>
      <c r="V25" s="39">
        <f t="shared" si="6"/>
        <v>1900</v>
      </c>
      <c r="W25" s="39">
        <v>1550</v>
      </c>
      <c r="X25" s="72">
        <f t="shared" si="7"/>
        <v>350</v>
      </c>
    </row>
    <row r="26" spans="1:24" x14ac:dyDescent="0.2">
      <c r="A26" s="7">
        <v>518006</v>
      </c>
      <c r="B26" s="8" t="s">
        <v>44</v>
      </c>
      <c r="C26" s="87">
        <v>12500</v>
      </c>
      <c r="D26" s="45">
        <v>11000</v>
      </c>
      <c r="E26" s="45">
        <v>250</v>
      </c>
      <c r="F26" s="88">
        <v>39000</v>
      </c>
      <c r="G26" s="46">
        <v>200</v>
      </c>
      <c r="H26" s="47">
        <v>1500</v>
      </c>
      <c r="I26" s="45">
        <v>150</v>
      </c>
      <c r="J26" s="47">
        <v>100</v>
      </c>
      <c r="K26" s="87">
        <v>600</v>
      </c>
      <c r="L26" s="88">
        <v>200</v>
      </c>
      <c r="M26" s="48">
        <v>200</v>
      </c>
      <c r="N26" s="48">
        <v>400</v>
      </c>
      <c r="O26" s="47">
        <v>10083</v>
      </c>
      <c r="P26" s="47">
        <v>10000</v>
      </c>
      <c r="Q26" s="87">
        <v>300</v>
      </c>
      <c r="R26" s="47">
        <v>24000</v>
      </c>
      <c r="S26" s="45">
        <v>1300</v>
      </c>
      <c r="T26" s="86">
        <v>42500</v>
      </c>
      <c r="U26" s="45"/>
      <c r="V26" s="39">
        <f t="shared" si="6"/>
        <v>154283</v>
      </c>
      <c r="W26" s="39">
        <v>153183</v>
      </c>
      <c r="X26" s="72">
        <f t="shared" si="7"/>
        <v>1100</v>
      </c>
    </row>
    <row r="27" spans="1:24" x14ac:dyDescent="0.2">
      <c r="A27" s="7">
        <v>518007</v>
      </c>
      <c r="B27" s="8" t="s">
        <v>45</v>
      </c>
      <c r="C27" s="48"/>
      <c r="D27" s="45"/>
      <c r="E27" s="45"/>
      <c r="F27" s="46"/>
      <c r="G27" s="46"/>
      <c r="H27" s="47"/>
      <c r="I27" s="45"/>
      <c r="J27" s="47"/>
      <c r="K27" s="46">
        <v>500</v>
      </c>
      <c r="L27" s="46"/>
      <c r="M27" s="48"/>
      <c r="N27" s="48"/>
      <c r="O27" s="47"/>
      <c r="P27" s="46"/>
      <c r="Q27" s="46"/>
      <c r="R27" s="48"/>
      <c r="S27" s="45">
        <v>50</v>
      </c>
      <c r="T27" s="45"/>
      <c r="U27" s="45"/>
      <c r="V27" s="39">
        <f t="shared" si="6"/>
        <v>550</v>
      </c>
      <c r="W27" s="39">
        <v>550</v>
      </c>
      <c r="X27" s="72">
        <f t="shared" si="7"/>
        <v>0</v>
      </c>
    </row>
    <row r="28" spans="1:24" x14ac:dyDescent="0.2">
      <c r="A28" s="7">
        <v>518009</v>
      </c>
      <c r="B28" s="8" t="s">
        <v>46</v>
      </c>
      <c r="C28" s="48"/>
      <c r="D28" s="45"/>
      <c r="E28" s="45"/>
      <c r="F28" s="51"/>
      <c r="G28" s="52"/>
      <c r="H28" s="53"/>
      <c r="I28" s="52"/>
      <c r="J28" s="52"/>
      <c r="K28" s="52"/>
      <c r="L28" s="52">
        <v>50</v>
      </c>
      <c r="M28" s="54"/>
      <c r="N28" s="55"/>
      <c r="O28" s="56"/>
      <c r="P28" s="57"/>
      <c r="Q28" s="57"/>
      <c r="R28" s="55"/>
      <c r="S28" s="45"/>
      <c r="T28" s="45"/>
      <c r="U28" s="45"/>
      <c r="V28" s="39">
        <f t="shared" si="6"/>
        <v>50</v>
      </c>
      <c r="W28" s="39">
        <v>50</v>
      </c>
      <c r="X28" s="72">
        <f t="shared" si="7"/>
        <v>0</v>
      </c>
    </row>
    <row r="29" spans="1:24" x14ac:dyDescent="0.2">
      <c r="A29" s="9" t="s">
        <v>47</v>
      </c>
      <c r="B29" s="5" t="s">
        <v>69</v>
      </c>
      <c r="C29" s="48"/>
      <c r="D29" s="45"/>
      <c r="E29" s="45"/>
      <c r="F29" s="88">
        <v>37600</v>
      </c>
      <c r="G29" s="47">
        <v>21500</v>
      </c>
      <c r="H29" s="87">
        <v>32200</v>
      </c>
      <c r="I29" s="45">
        <v>600</v>
      </c>
      <c r="J29" s="48">
        <v>1500</v>
      </c>
      <c r="K29" s="46">
        <v>450</v>
      </c>
      <c r="L29" s="46"/>
      <c r="M29" s="48">
        <v>550</v>
      </c>
      <c r="N29" s="45"/>
      <c r="O29" s="47"/>
      <c r="P29" s="46"/>
      <c r="Q29" s="46"/>
      <c r="R29" s="48"/>
      <c r="S29" s="45"/>
      <c r="T29" s="86">
        <v>3500</v>
      </c>
      <c r="U29" s="45">
        <v>2300</v>
      </c>
      <c r="V29" s="39">
        <f t="shared" si="6"/>
        <v>100200</v>
      </c>
      <c r="W29" s="39">
        <v>96800</v>
      </c>
      <c r="X29" s="72">
        <f t="shared" si="7"/>
        <v>3400</v>
      </c>
    </row>
    <row r="30" spans="1:24" x14ac:dyDescent="0.2">
      <c r="A30" s="9" t="s">
        <v>48</v>
      </c>
      <c r="B30" s="5" t="s">
        <v>70</v>
      </c>
      <c r="C30" s="45"/>
      <c r="D30" s="45"/>
      <c r="E30" s="45"/>
      <c r="F30" s="88">
        <v>32200</v>
      </c>
      <c r="G30" s="47">
        <v>5000</v>
      </c>
      <c r="H30" s="87">
        <v>39200</v>
      </c>
      <c r="I30" s="45">
        <v>7050</v>
      </c>
      <c r="J30" s="46">
        <v>2400</v>
      </c>
      <c r="K30" s="46">
        <v>450</v>
      </c>
      <c r="L30" s="46"/>
      <c r="M30" s="85">
        <v>2200</v>
      </c>
      <c r="N30" s="45"/>
      <c r="O30" s="47"/>
      <c r="P30" s="46"/>
      <c r="Q30" s="46"/>
      <c r="R30" s="46"/>
      <c r="S30" s="45"/>
      <c r="T30" s="45"/>
      <c r="U30" s="45">
        <v>6500</v>
      </c>
      <c r="V30" s="39">
        <f t="shared" si="6"/>
        <v>95000</v>
      </c>
      <c r="W30" s="39">
        <v>109300</v>
      </c>
      <c r="X30" s="72">
        <f t="shared" si="7"/>
        <v>-14300</v>
      </c>
    </row>
    <row r="31" spans="1:24" x14ac:dyDescent="0.2">
      <c r="A31" s="10" t="s">
        <v>49</v>
      </c>
      <c r="B31" s="11" t="s">
        <v>50</v>
      </c>
      <c r="C31" s="38">
        <f t="shared" ref="C31:R31" si="14">SUM(C32:C33)</f>
        <v>21601.079999999998</v>
      </c>
      <c r="D31" s="38"/>
      <c r="E31" s="38">
        <f t="shared" ref="E31" si="15">SUM(E32:E33)</f>
        <v>22778.766</v>
      </c>
      <c r="F31" s="38">
        <f>SUM(F32:F33)</f>
        <v>12387.06</v>
      </c>
      <c r="G31" s="38">
        <f t="shared" ref="G31:H31" si="16">SUM(G32:G33)</f>
        <v>39705.215999999993</v>
      </c>
      <c r="H31" s="38">
        <f t="shared" si="16"/>
        <v>46485.043999999994</v>
      </c>
      <c r="I31" s="38">
        <f t="shared" si="14"/>
        <v>20807.82</v>
      </c>
      <c r="J31" s="38">
        <f t="shared" si="14"/>
        <v>41737.679999999993</v>
      </c>
      <c r="K31" s="38">
        <f>SUM(K32:K33)</f>
        <v>16465.23</v>
      </c>
      <c r="L31" s="38">
        <f t="shared" si="14"/>
        <v>35198.369999999995</v>
      </c>
      <c r="M31" s="58">
        <f>SUM(M32:M33)</f>
        <v>19468.66</v>
      </c>
      <c r="N31" s="38">
        <f t="shared" si="14"/>
        <v>36428.939999999995</v>
      </c>
      <c r="O31" s="38">
        <f t="shared" si="14"/>
        <v>312204.83999999997</v>
      </c>
      <c r="P31" s="38">
        <f t="shared" si="14"/>
        <v>22068.899999999998</v>
      </c>
      <c r="Q31" s="38">
        <f t="shared" si="14"/>
        <v>74403.719999999987</v>
      </c>
      <c r="R31" s="38">
        <f t="shared" si="14"/>
        <v>73906.599999999991</v>
      </c>
      <c r="S31" s="38">
        <f>SUM(S32:S33)</f>
        <v>37832.399999999994</v>
      </c>
      <c r="T31" s="38">
        <f>SUM(T32:T33)</f>
        <v>30461.183999999997</v>
      </c>
      <c r="U31" s="38">
        <f>SUM(U32:U33)</f>
        <v>0</v>
      </c>
      <c r="V31" s="38">
        <f t="shared" si="6"/>
        <v>863941.51</v>
      </c>
      <c r="W31" s="38">
        <v>867441.51</v>
      </c>
      <c r="X31" s="71">
        <f t="shared" si="7"/>
        <v>-3500</v>
      </c>
    </row>
    <row r="32" spans="1:24" x14ac:dyDescent="0.2">
      <c r="A32" s="12">
        <v>521001</v>
      </c>
      <c r="B32" s="13" t="s">
        <v>10</v>
      </c>
      <c r="C32" s="48">
        <f>21240*$Z$2</f>
        <v>21601.079999999998</v>
      </c>
      <c r="D32" s="45"/>
      <c r="E32" s="45">
        <f>22398*$Z$2</f>
        <v>22778.766</v>
      </c>
      <c r="F32" s="46">
        <f>12180*$Z$2</f>
        <v>12387.06</v>
      </c>
      <c r="G32" s="46">
        <f>37248*$Z$2</f>
        <v>37881.215999999993</v>
      </c>
      <c r="H32" s="47">
        <f>32532*$Z$2</f>
        <v>33085.043999999994</v>
      </c>
      <c r="I32" s="59">
        <f>20460*$Z$2</f>
        <v>20807.82</v>
      </c>
      <c r="J32" s="47">
        <f>41040*$Z$2</f>
        <v>41737.679999999993</v>
      </c>
      <c r="K32" s="45">
        <f>16190*$Z$2</f>
        <v>16465.23</v>
      </c>
      <c r="L32" s="46">
        <f>34610*$Z$2</f>
        <v>35198.369999999995</v>
      </c>
      <c r="M32" s="48">
        <f>16980*$Z$2</f>
        <v>17268.66</v>
      </c>
      <c r="N32" s="47">
        <f>35820*$Z$2</f>
        <v>36428.939999999995</v>
      </c>
      <c r="O32" s="45">
        <f>294520*$Z$2</f>
        <v>299526.83999999997</v>
      </c>
      <c r="P32" s="47">
        <f>21700*$Z$2</f>
        <v>22068.899999999998</v>
      </c>
      <c r="Q32" s="46">
        <f>73160*$Z$2</f>
        <v>74403.719999999987</v>
      </c>
      <c r="R32" s="46">
        <f>69800*$Z$2</f>
        <v>70986.599999999991</v>
      </c>
      <c r="S32" s="45">
        <f>37200*$Z$2</f>
        <v>37832.399999999994</v>
      </c>
      <c r="T32" s="45">
        <f>29952*$Z$2</f>
        <v>30461.183999999997</v>
      </c>
      <c r="U32" s="45"/>
      <c r="V32" s="39">
        <f t="shared" si="6"/>
        <v>830919.51</v>
      </c>
      <c r="W32" s="39">
        <v>830919.51</v>
      </c>
      <c r="X32" s="72">
        <f t="shared" si="7"/>
        <v>0</v>
      </c>
    </row>
    <row r="33" spans="1:24" x14ac:dyDescent="0.2">
      <c r="A33" s="12">
        <v>521002</v>
      </c>
      <c r="B33" s="13" t="s">
        <v>11</v>
      </c>
      <c r="C33" s="48">
        <v>0</v>
      </c>
      <c r="D33" s="48"/>
      <c r="E33" s="48"/>
      <c r="F33" s="48"/>
      <c r="G33" s="48">
        <v>1824</v>
      </c>
      <c r="H33" s="85">
        <v>13400</v>
      </c>
      <c r="I33" s="92">
        <v>0</v>
      </c>
      <c r="J33" s="85">
        <v>0</v>
      </c>
      <c r="K33" s="48"/>
      <c r="L33" s="48"/>
      <c r="M33" s="48">
        <v>2200</v>
      </c>
      <c r="N33" s="48"/>
      <c r="O33" s="48">
        <v>12678</v>
      </c>
      <c r="P33" s="48"/>
      <c r="Q33" s="48"/>
      <c r="R33" s="48">
        <v>2920</v>
      </c>
      <c r="S33" s="48"/>
      <c r="T33" s="48"/>
      <c r="U33" s="85">
        <v>0</v>
      </c>
      <c r="V33" s="39">
        <f t="shared" si="6"/>
        <v>33022</v>
      </c>
      <c r="W33" s="39">
        <v>36522</v>
      </c>
      <c r="X33" s="72">
        <f t="shared" si="7"/>
        <v>-3500</v>
      </c>
    </row>
    <row r="34" spans="1:24" x14ac:dyDescent="0.2">
      <c r="A34" s="14">
        <v>524</v>
      </c>
      <c r="B34" s="13" t="s">
        <v>12</v>
      </c>
      <c r="C34" s="48">
        <f t="shared" ref="C34:T34" si="17">SUM(C31*35.2/100)</f>
        <v>7603.5801599999995</v>
      </c>
      <c r="D34" s="48"/>
      <c r="E34" s="48">
        <f t="shared" ref="E34" si="18">SUM(E31*35.2/100)</f>
        <v>8018.1256320000011</v>
      </c>
      <c r="F34" s="48">
        <f t="shared" si="17"/>
        <v>4360.2451200000005</v>
      </c>
      <c r="G34" s="48">
        <f t="shared" si="17"/>
        <v>13976.236031999997</v>
      </c>
      <c r="H34" s="85">
        <f t="shared" si="17"/>
        <v>16362.735488</v>
      </c>
      <c r="I34" s="48">
        <f t="shared" si="17"/>
        <v>7324.352640000001</v>
      </c>
      <c r="J34" s="48">
        <f t="shared" si="17"/>
        <v>14691.663359999999</v>
      </c>
      <c r="K34" s="48">
        <f t="shared" si="17"/>
        <v>5795.7609600000005</v>
      </c>
      <c r="L34" s="48">
        <f t="shared" si="17"/>
        <v>12389.826239999999</v>
      </c>
      <c r="M34" s="48">
        <f t="shared" si="17"/>
        <v>6852.9683200000009</v>
      </c>
      <c r="N34" s="48">
        <f t="shared" si="17"/>
        <v>12822.986879999999</v>
      </c>
      <c r="O34" s="48">
        <f t="shared" si="17"/>
        <v>109896.10367999999</v>
      </c>
      <c r="P34" s="48">
        <f t="shared" si="17"/>
        <v>7768.2528000000002</v>
      </c>
      <c r="Q34" s="48">
        <f t="shared" si="17"/>
        <v>26190.109439999997</v>
      </c>
      <c r="R34" s="48">
        <f t="shared" si="17"/>
        <v>26015.123199999998</v>
      </c>
      <c r="S34" s="48">
        <f t="shared" si="17"/>
        <v>13317.004800000001</v>
      </c>
      <c r="T34" s="48">
        <f t="shared" si="17"/>
        <v>10722.336768000001</v>
      </c>
      <c r="U34" s="83"/>
      <c r="V34" s="38">
        <f t="shared" si="6"/>
        <v>304107.41151999991</v>
      </c>
      <c r="W34" s="38">
        <v>304917.01151999994</v>
      </c>
      <c r="X34" s="71">
        <f t="shared" si="7"/>
        <v>-809.60000000003492</v>
      </c>
    </row>
    <row r="35" spans="1:24" x14ac:dyDescent="0.2">
      <c r="A35" s="14">
        <v>527</v>
      </c>
      <c r="B35" s="13" t="s">
        <v>13</v>
      </c>
      <c r="C35" s="48">
        <f>SUM(C32*0.01)</f>
        <v>216.01079999999999</v>
      </c>
      <c r="D35" s="48"/>
      <c r="E35" s="48">
        <f t="shared" ref="E35:T35" si="19">SUM(E32*0.01)</f>
        <v>227.78765999999999</v>
      </c>
      <c r="F35" s="48">
        <f t="shared" si="19"/>
        <v>123.8706</v>
      </c>
      <c r="G35" s="48">
        <f t="shared" si="19"/>
        <v>378.81215999999995</v>
      </c>
      <c r="H35" s="48">
        <f t="shared" si="19"/>
        <v>330.85043999999994</v>
      </c>
      <c r="I35" s="48">
        <f t="shared" si="19"/>
        <v>208.07820000000001</v>
      </c>
      <c r="J35" s="48">
        <f t="shared" si="19"/>
        <v>417.37679999999995</v>
      </c>
      <c r="K35" s="48">
        <f t="shared" si="19"/>
        <v>164.6523</v>
      </c>
      <c r="L35" s="48">
        <f t="shared" si="19"/>
        <v>351.98369999999994</v>
      </c>
      <c r="M35" s="48">
        <f t="shared" si="19"/>
        <v>172.6866</v>
      </c>
      <c r="N35" s="48">
        <f t="shared" si="19"/>
        <v>364.28939999999994</v>
      </c>
      <c r="O35" s="48">
        <f t="shared" si="19"/>
        <v>2995.2683999999999</v>
      </c>
      <c r="P35" s="48">
        <f t="shared" si="19"/>
        <v>220.68899999999999</v>
      </c>
      <c r="Q35" s="48">
        <f t="shared" si="19"/>
        <v>744.03719999999987</v>
      </c>
      <c r="R35" s="48">
        <f t="shared" si="19"/>
        <v>709.86599999999987</v>
      </c>
      <c r="S35" s="48">
        <f t="shared" si="19"/>
        <v>378.32399999999996</v>
      </c>
      <c r="T35" s="48">
        <f t="shared" si="19"/>
        <v>304.61183999999997</v>
      </c>
      <c r="U35" s="48"/>
      <c r="V35" s="38">
        <f t="shared" si="6"/>
        <v>8309.195099999999</v>
      </c>
      <c r="W35" s="38">
        <v>8309.195099999999</v>
      </c>
      <c r="X35" s="71">
        <f t="shared" si="7"/>
        <v>0</v>
      </c>
    </row>
    <row r="36" spans="1:24" x14ac:dyDescent="0.2">
      <c r="A36" s="14">
        <v>532</v>
      </c>
      <c r="B36" s="13" t="s">
        <v>14</v>
      </c>
      <c r="C36" s="45"/>
      <c r="D36" s="45"/>
      <c r="E36" s="45"/>
      <c r="F36" s="46"/>
      <c r="G36" s="46"/>
      <c r="H36" s="46"/>
      <c r="I36" s="45"/>
      <c r="J36" s="46"/>
      <c r="K36" s="45"/>
      <c r="L36" s="46"/>
      <c r="M36" s="48"/>
      <c r="N36" s="45"/>
      <c r="O36" s="45">
        <v>5860</v>
      </c>
      <c r="P36" s="46"/>
      <c r="Q36" s="46"/>
      <c r="R36" s="46">
        <v>6160</v>
      </c>
      <c r="S36" s="45"/>
      <c r="T36" s="45"/>
      <c r="U36" s="45"/>
      <c r="V36" s="38">
        <f t="shared" si="6"/>
        <v>12020</v>
      </c>
      <c r="W36" s="38">
        <v>12020</v>
      </c>
      <c r="X36" s="71">
        <f t="shared" si="7"/>
        <v>0</v>
      </c>
    </row>
    <row r="37" spans="1:24" x14ac:dyDescent="0.2">
      <c r="A37" s="14">
        <v>538</v>
      </c>
      <c r="B37" s="13" t="s">
        <v>15</v>
      </c>
      <c r="C37" s="45"/>
      <c r="D37" s="45"/>
      <c r="E37" s="45"/>
      <c r="F37" s="46"/>
      <c r="G37" s="46"/>
      <c r="H37" s="46"/>
      <c r="I37" s="45"/>
      <c r="J37" s="46"/>
      <c r="K37" s="45"/>
      <c r="L37" s="46"/>
      <c r="M37" s="48"/>
      <c r="N37" s="45"/>
      <c r="O37" s="45">
        <v>460</v>
      </c>
      <c r="P37" s="46"/>
      <c r="Q37" s="46"/>
      <c r="R37" s="46">
        <v>2800</v>
      </c>
      <c r="S37" s="45"/>
      <c r="T37" s="45"/>
      <c r="U37" s="45"/>
      <c r="V37" s="38">
        <f t="shared" si="6"/>
        <v>3260</v>
      </c>
      <c r="W37" s="38">
        <v>3260</v>
      </c>
      <c r="X37" s="71">
        <f t="shared" si="7"/>
        <v>0</v>
      </c>
    </row>
    <row r="38" spans="1:24" x14ac:dyDescent="0.2">
      <c r="A38" s="14">
        <v>547</v>
      </c>
      <c r="B38" s="13" t="s">
        <v>27</v>
      </c>
      <c r="C38" s="45"/>
      <c r="D38" s="45"/>
      <c r="E38" s="45"/>
      <c r="F38" s="46"/>
      <c r="G38" s="46"/>
      <c r="H38" s="46"/>
      <c r="I38" s="45"/>
      <c r="J38" s="46"/>
      <c r="K38" s="45"/>
      <c r="L38" s="46">
        <v>1000</v>
      </c>
      <c r="M38" s="48"/>
      <c r="N38" s="45"/>
      <c r="O38" s="45"/>
      <c r="P38" s="46"/>
      <c r="Q38" s="46"/>
      <c r="R38" s="46"/>
      <c r="S38" s="45">
        <v>3000</v>
      </c>
      <c r="T38" s="45"/>
      <c r="U38" s="45"/>
      <c r="V38" s="38">
        <f t="shared" si="6"/>
        <v>4000</v>
      </c>
      <c r="W38" s="38">
        <v>4000</v>
      </c>
      <c r="X38" s="71">
        <f t="shared" si="7"/>
        <v>0</v>
      </c>
    </row>
    <row r="39" spans="1:24" x14ac:dyDescent="0.2">
      <c r="A39" s="15">
        <v>549</v>
      </c>
      <c r="B39" s="16" t="s">
        <v>16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>
        <f>SUM(O40:O43)</f>
        <v>2772</v>
      </c>
      <c r="P39" s="44"/>
      <c r="Q39" s="44"/>
      <c r="R39" s="44">
        <f>SUM(R40:R43)</f>
        <v>6995</v>
      </c>
      <c r="S39" s="44"/>
      <c r="T39" s="44"/>
      <c r="U39" s="44"/>
      <c r="V39" s="38">
        <f t="shared" si="6"/>
        <v>9767</v>
      </c>
      <c r="W39" s="38">
        <v>9767</v>
      </c>
      <c r="X39" s="71">
        <f t="shared" si="7"/>
        <v>0</v>
      </c>
    </row>
    <row r="40" spans="1:24" x14ac:dyDescent="0.2">
      <c r="A40" s="12">
        <v>549001</v>
      </c>
      <c r="B40" s="13" t="s">
        <v>51</v>
      </c>
      <c r="C40" s="45"/>
      <c r="D40" s="45"/>
      <c r="E40" s="45"/>
      <c r="F40" s="46"/>
      <c r="G40" s="46"/>
      <c r="H40" s="46"/>
      <c r="I40" s="45"/>
      <c r="J40" s="46"/>
      <c r="K40" s="45"/>
      <c r="L40" s="46"/>
      <c r="M40" s="48"/>
      <c r="N40" s="45"/>
      <c r="O40" s="45">
        <v>1330</v>
      </c>
      <c r="P40" s="46"/>
      <c r="Q40" s="46"/>
      <c r="R40" s="46">
        <v>520</v>
      </c>
      <c r="S40" s="45"/>
      <c r="T40" s="45"/>
      <c r="U40" s="45"/>
      <c r="V40" s="39">
        <f t="shared" si="6"/>
        <v>1850</v>
      </c>
      <c r="W40" s="39">
        <v>1850</v>
      </c>
      <c r="X40" s="72">
        <f t="shared" ref="X40:X58" si="20">V40-W40</f>
        <v>0</v>
      </c>
    </row>
    <row r="41" spans="1:24" x14ac:dyDescent="0.2">
      <c r="A41" s="12">
        <v>549004</v>
      </c>
      <c r="B41" s="13" t="s">
        <v>52</v>
      </c>
      <c r="C41" s="45"/>
      <c r="D41" s="45"/>
      <c r="E41" s="45"/>
      <c r="F41" s="46"/>
      <c r="G41" s="46"/>
      <c r="H41" s="46"/>
      <c r="I41" s="45"/>
      <c r="J41" s="46"/>
      <c r="K41" s="45"/>
      <c r="L41" s="46"/>
      <c r="M41" s="48"/>
      <c r="N41" s="45"/>
      <c r="O41" s="45"/>
      <c r="P41" s="46"/>
      <c r="Q41" s="46"/>
      <c r="R41" s="46">
        <v>400</v>
      </c>
      <c r="S41" s="45"/>
      <c r="T41" s="45"/>
      <c r="U41" s="45"/>
      <c r="V41" s="39">
        <f t="shared" si="6"/>
        <v>400</v>
      </c>
      <c r="W41" s="39">
        <v>400</v>
      </c>
      <c r="X41" s="72">
        <f t="shared" si="20"/>
        <v>0</v>
      </c>
    </row>
    <row r="42" spans="1:24" x14ac:dyDescent="0.2">
      <c r="A42" s="12">
        <v>549005</v>
      </c>
      <c r="B42" s="13" t="s">
        <v>53</v>
      </c>
      <c r="C42" s="45"/>
      <c r="D42" s="45"/>
      <c r="E42" s="45"/>
      <c r="F42" s="46"/>
      <c r="G42" s="46"/>
      <c r="H42" s="46"/>
      <c r="I42" s="45"/>
      <c r="J42" s="46"/>
      <c r="K42" s="45"/>
      <c r="L42" s="46"/>
      <c r="M42" s="48"/>
      <c r="N42" s="45"/>
      <c r="O42" s="45"/>
      <c r="P42" s="46"/>
      <c r="Q42" s="46"/>
      <c r="R42" s="47">
        <v>1075</v>
      </c>
      <c r="S42" s="45"/>
      <c r="T42" s="45"/>
      <c r="U42" s="45"/>
      <c r="V42" s="39">
        <f t="shared" si="6"/>
        <v>1075</v>
      </c>
      <c r="W42" s="39">
        <v>1075</v>
      </c>
      <c r="X42" s="72">
        <f t="shared" si="20"/>
        <v>0</v>
      </c>
    </row>
    <row r="43" spans="1:24" x14ac:dyDescent="0.2">
      <c r="A43" s="12" t="s">
        <v>54</v>
      </c>
      <c r="B43" s="13" t="s">
        <v>55</v>
      </c>
      <c r="C43" s="45"/>
      <c r="D43" s="45"/>
      <c r="E43" s="45"/>
      <c r="F43" s="46"/>
      <c r="G43" s="46"/>
      <c r="H43" s="46"/>
      <c r="I43" s="45"/>
      <c r="J43" s="46"/>
      <c r="K43" s="45"/>
      <c r="L43" s="46"/>
      <c r="M43" s="48"/>
      <c r="N43" s="45"/>
      <c r="O43" s="45">
        <v>1442</v>
      </c>
      <c r="P43" s="46"/>
      <c r="Q43" s="46"/>
      <c r="R43" s="47">
        <v>5000</v>
      </c>
      <c r="S43" s="45"/>
      <c r="T43" s="45"/>
      <c r="U43" s="45"/>
      <c r="V43" s="39">
        <f t="shared" si="6"/>
        <v>6442</v>
      </c>
      <c r="W43" s="39">
        <v>6442</v>
      </c>
      <c r="X43" s="72">
        <f t="shared" si="20"/>
        <v>0</v>
      </c>
    </row>
    <row r="44" spans="1:24" x14ac:dyDescent="0.2">
      <c r="A44" s="14">
        <v>563</v>
      </c>
      <c r="B44" s="35" t="s">
        <v>21</v>
      </c>
      <c r="C44" s="47">
        <v>0</v>
      </c>
      <c r="D44" s="45"/>
      <c r="E44" s="45"/>
      <c r="F44" s="46"/>
      <c r="G44" s="47">
        <v>800</v>
      </c>
      <c r="H44" s="46"/>
      <c r="I44" s="45"/>
      <c r="J44" s="46"/>
      <c r="K44" s="45">
        <v>50</v>
      </c>
      <c r="L44" s="46"/>
      <c r="M44" s="48"/>
      <c r="N44" s="45"/>
      <c r="O44" s="45"/>
      <c r="P44" s="46"/>
      <c r="Q44" s="46"/>
      <c r="R44" s="47"/>
      <c r="S44" s="45"/>
      <c r="T44" s="45"/>
      <c r="U44" s="45"/>
      <c r="V44" s="38">
        <f t="shared" si="6"/>
        <v>850</v>
      </c>
      <c r="W44" s="38">
        <v>2030</v>
      </c>
      <c r="X44" s="71">
        <f t="shared" si="20"/>
        <v>-1180</v>
      </c>
    </row>
    <row r="45" spans="1:24" x14ac:dyDescent="0.2">
      <c r="A45" s="14">
        <v>591</v>
      </c>
      <c r="B45" s="35" t="s">
        <v>17</v>
      </c>
      <c r="C45" s="45"/>
      <c r="D45" s="45"/>
      <c r="E45" s="45"/>
      <c r="F45" s="46"/>
      <c r="G45" s="46"/>
      <c r="H45" s="46"/>
      <c r="I45" s="45"/>
      <c r="J45" s="46"/>
      <c r="K45" s="45"/>
      <c r="L45" s="46"/>
      <c r="M45" s="48"/>
      <c r="N45" s="45"/>
      <c r="O45" s="45"/>
      <c r="P45" s="46"/>
      <c r="Q45" s="85">
        <v>52700</v>
      </c>
      <c r="R45" s="47"/>
      <c r="S45" s="45"/>
      <c r="T45" s="45"/>
      <c r="U45" s="45"/>
      <c r="V45" s="38">
        <f t="shared" si="6"/>
        <v>52700</v>
      </c>
      <c r="W45" s="38">
        <v>5000</v>
      </c>
      <c r="X45" s="71">
        <f t="shared" si="20"/>
        <v>47700</v>
      </c>
    </row>
    <row r="46" spans="1:24" x14ac:dyDescent="0.2">
      <c r="A46" s="17"/>
      <c r="B46" s="35" t="s">
        <v>18</v>
      </c>
      <c r="C46" s="60">
        <f t="shared" ref="C46:L46" si="21">C8+C13+C18+C19+C20+C21+C31+C34+C35+C36+C37+C38+C39+C44+C45</f>
        <v>49720.670959999996</v>
      </c>
      <c r="D46" s="60">
        <f t="shared" ref="D46" si="22">D8+D13+D18+D19+D20+D21+D31+D34+D35+D36+D37+D38+D39+D44+D45</f>
        <v>19200</v>
      </c>
      <c r="E46" s="60">
        <f t="shared" ref="E46" si="23">E8+E13+E18+E19+E20+E21+E31+E34+E35+E36+E37+E38+E39+E44+E45</f>
        <v>32374.679292000001</v>
      </c>
      <c r="F46" s="60">
        <f t="shared" si="21"/>
        <v>161271.17572</v>
      </c>
      <c r="G46" s="60">
        <f t="shared" ref="G46:H46" si="24">G8+G13+G18+G19+G20+G21+G31+G34+G35+G36+G37+G38+G39+G44+G45</f>
        <v>82210.264191999988</v>
      </c>
      <c r="H46" s="60">
        <f t="shared" si="24"/>
        <v>137678.62992800001</v>
      </c>
      <c r="I46" s="60">
        <f t="shared" si="21"/>
        <v>36960.250840000008</v>
      </c>
      <c r="J46" s="60">
        <f t="shared" si="21"/>
        <v>61746.72015999999</v>
      </c>
      <c r="K46" s="60">
        <f t="shared" ref="K46" si="25">K8+K13+K18+K19+K20+K21+K31+K34+K35+K36+K37+K38+K39+K44+K45</f>
        <v>26895.643260000001</v>
      </c>
      <c r="L46" s="60">
        <f t="shared" si="21"/>
        <v>51640.179939999987</v>
      </c>
      <c r="M46" s="60">
        <f t="shared" ref="M46:U46" si="26">M8+M13+M18+M19+M20+M21+M31+M34+M35+M36+M37+M38+M39+M44+M45</f>
        <v>30859.314920000001</v>
      </c>
      <c r="N46" s="60">
        <f t="shared" si="26"/>
        <v>52816.216279999993</v>
      </c>
      <c r="O46" s="60">
        <f t="shared" si="26"/>
        <v>532854.21207999997</v>
      </c>
      <c r="P46" s="60">
        <f t="shared" si="26"/>
        <v>43957.841799999995</v>
      </c>
      <c r="Q46" s="60">
        <f>Q8+Q13+Q18+Q19+Q20+Q21+Q31+Q34+Q35+Q36+Q37+Q38+Q39+Q44+Q45</f>
        <v>159387.86663999999</v>
      </c>
      <c r="R46" s="60">
        <f>R8+R13+R18+R19+R20+R21+R31+R34+R35+R36+R37+R38+R39+R44+R45</f>
        <v>288561.58919999993</v>
      </c>
      <c r="S46" s="60">
        <f t="shared" si="26"/>
        <v>60837.728799999997</v>
      </c>
      <c r="T46" s="60">
        <f t="shared" si="26"/>
        <v>87488.132607999985</v>
      </c>
      <c r="U46" s="60">
        <f t="shared" si="26"/>
        <v>8800</v>
      </c>
      <c r="V46" s="38">
        <f t="shared" si="6"/>
        <v>1925261.1166199995</v>
      </c>
      <c r="W46" s="38">
        <v>1887030.7166199996</v>
      </c>
      <c r="X46" s="71">
        <f t="shared" si="20"/>
        <v>38230.399999999907</v>
      </c>
    </row>
    <row r="47" spans="1:24" x14ac:dyDescent="0.2">
      <c r="A47" s="97" t="s">
        <v>86</v>
      </c>
      <c r="B47" s="35" t="s">
        <v>56</v>
      </c>
      <c r="C47" s="61"/>
      <c r="D47" s="45"/>
      <c r="E47" s="45"/>
      <c r="F47" s="45"/>
      <c r="G47" s="45"/>
      <c r="H47" s="45"/>
      <c r="I47" s="48"/>
      <c r="J47" s="45"/>
      <c r="K47" s="45"/>
      <c r="L47" s="45">
        <v>10500</v>
      </c>
      <c r="M47" s="48"/>
      <c r="N47" s="45"/>
      <c r="O47" s="45"/>
      <c r="P47" s="45"/>
      <c r="Q47" s="45"/>
      <c r="R47" s="47">
        <v>35000</v>
      </c>
      <c r="S47" s="45"/>
      <c r="T47" s="45"/>
      <c r="U47" s="45"/>
      <c r="V47" s="38">
        <f t="shared" si="6"/>
        <v>45500</v>
      </c>
      <c r="W47" s="38">
        <v>45500</v>
      </c>
      <c r="X47" s="71">
        <f t="shared" si="20"/>
        <v>0</v>
      </c>
    </row>
    <row r="48" spans="1:24" x14ac:dyDescent="0.2">
      <c r="A48" s="98"/>
      <c r="B48" s="35" t="s">
        <v>28</v>
      </c>
      <c r="C48" s="61">
        <v>2500</v>
      </c>
      <c r="D48" s="62"/>
      <c r="E48" s="45"/>
      <c r="F48" s="62"/>
      <c r="G48" s="62"/>
      <c r="H48" s="62"/>
      <c r="I48" s="62"/>
      <c r="J48" s="62"/>
      <c r="K48" s="62"/>
      <c r="L48" s="62"/>
      <c r="M48" s="63"/>
      <c r="N48" s="62"/>
      <c r="O48" s="62"/>
      <c r="P48" s="62"/>
      <c r="Q48" s="62"/>
      <c r="R48" s="62"/>
      <c r="S48" s="62"/>
      <c r="T48" s="62"/>
      <c r="U48" s="62"/>
      <c r="V48" s="38">
        <f t="shared" si="6"/>
        <v>2500</v>
      </c>
      <c r="W48" s="38">
        <v>2500</v>
      </c>
      <c r="X48" s="71">
        <f t="shared" si="20"/>
        <v>0</v>
      </c>
    </row>
    <row r="49" spans="1:24" x14ac:dyDescent="0.2">
      <c r="A49" s="98"/>
      <c r="B49" s="35" t="s">
        <v>68</v>
      </c>
      <c r="C49" s="84">
        <v>5000</v>
      </c>
      <c r="D49" s="62"/>
      <c r="E49" s="45"/>
      <c r="F49" s="62"/>
      <c r="G49" s="62"/>
      <c r="H49" s="62"/>
      <c r="I49" s="62"/>
      <c r="J49" s="62"/>
      <c r="K49" s="62"/>
      <c r="L49" s="62"/>
      <c r="M49" s="63"/>
      <c r="N49" s="62"/>
      <c r="O49" s="62"/>
      <c r="P49" s="62"/>
      <c r="Q49" s="62"/>
      <c r="R49" s="62"/>
      <c r="S49" s="62"/>
      <c r="T49" s="62"/>
      <c r="U49" s="62"/>
      <c r="V49" s="38">
        <f t="shared" si="6"/>
        <v>5000</v>
      </c>
      <c r="W49" s="38">
        <v>4000</v>
      </c>
      <c r="X49" s="71">
        <f t="shared" si="20"/>
        <v>1000</v>
      </c>
    </row>
    <row r="50" spans="1:24" ht="12" customHeight="1" x14ac:dyDescent="0.2">
      <c r="A50" s="98"/>
      <c r="B50" s="80" t="s">
        <v>79</v>
      </c>
      <c r="C50" s="61">
        <v>50000</v>
      </c>
      <c r="D50" s="45"/>
      <c r="E50" s="45"/>
      <c r="F50" s="45"/>
      <c r="G50" s="45"/>
      <c r="H50" s="45"/>
      <c r="I50" s="45"/>
      <c r="J50" s="45"/>
      <c r="K50" s="45"/>
      <c r="L50" s="45"/>
      <c r="M50" s="48"/>
      <c r="N50" s="45"/>
      <c r="O50" s="45"/>
      <c r="P50" s="45"/>
      <c r="Q50" s="45"/>
      <c r="R50" s="45"/>
      <c r="S50" s="45"/>
      <c r="T50" s="45"/>
      <c r="U50" s="45"/>
      <c r="V50" s="38">
        <f t="shared" si="6"/>
        <v>50000</v>
      </c>
      <c r="W50" s="38">
        <v>50000</v>
      </c>
      <c r="X50" s="71">
        <f t="shared" si="20"/>
        <v>0</v>
      </c>
    </row>
    <row r="51" spans="1:24" x14ac:dyDescent="0.2">
      <c r="A51" s="98"/>
      <c r="B51" s="35" t="s">
        <v>75</v>
      </c>
      <c r="C51" s="61">
        <v>600</v>
      </c>
      <c r="D51" s="46"/>
      <c r="E51" s="46"/>
      <c r="F51" s="64"/>
      <c r="G51" s="64"/>
      <c r="H51" s="64"/>
      <c r="I51" s="46"/>
      <c r="J51" s="46"/>
      <c r="K51" s="46"/>
      <c r="L51" s="46"/>
      <c r="M51" s="48"/>
      <c r="N51" s="64"/>
      <c r="O51" s="64"/>
      <c r="P51" s="46"/>
      <c r="Q51" s="46"/>
      <c r="R51" s="46"/>
      <c r="S51" s="46"/>
      <c r="T51" s="46"/>
      <c r="U51" s="46"/>
      <c r="V51" s="38">
        <f t="shared" si="6"/>
        <v>600</v>
      </c>
      <c r="W51" s="38">
        <v>600</v>
      </c>
      <c r="X51" s="71">
        <f t="shared" si="20"/>
        <v>0</v>
      </c>
    </row>
    <row r="52" spans="1:24" x14ac:dyDescent="0.2">
      <c r="A52" s="98"/>
      <c r="B52" s="35" t="s">
        <v>72</v>
      </c>
      <c r="C52" s="61">
        <v>11000</v>
      </c>
      <c r="D52" s="46"/>
      <c r="E52" s="46"/>
      <c r="F52" s="64"/>
      <c r="G52" s="64"/>
      <c r="H52" s="64"/>
      <c r="I52" s="46"/>
      <c r="J52" s="46"/>
      <c r="K52" s="46"/>
      <c r="L52" s="46"/>
      <c r="M52" s="48"/>
      <c r="N52" s="64"/>
      <c r="O52" s="64"/>
      <c r="P52" s="46"/>
      <c r="Q52" s="46"/>
      <c r="R52" s="46"/>
      <c r="S52" s="46"/>
      <c r="T52" s="46"/>
      <c r="U52" s="46"/>
      <c r="V52" s="38">
        <f t="shared" si="6"/>
        <v>11000</v>
      </c>
      <c r="W52" s="38">
        <v>11000</v>
      </c>
      <c r="X52" s="71">
        <f t="shared" si="20"/>
        <v>0</v>
      </c>
    </row>
    <row r="53" spans="1:24" x14ac:dyDescent="0.2">
      <c r="A53" s="98"/>
      <c r="B53" s="35" t="s">
        <v>73</v>
      </c>
      <c r="C53" s="84">
        <v>5215</v>
      </c>
      <c r="D53" s="46"/>
      <c r="E53" s="46"/>
      <c r="F53" s="64"/>
      <c r="G53" s="64"/>
      <c r="H53" s="64"/>
      <c r="I53" s="46"/>
      <c r="J53" s="46"/>
      <c r="K53" s="46"/>
      <c r="L53" s="46"/>
      <c r="M53" s="48"/>
      <c r="N53" s="64"/>
      <c r="O53" s="64"/>
      <c r="P53" s="46"/>
      <c r="Q53" s="46"/>
      <c r="R53" s="46"/>
      <c r="S53" s="46"/>
      <c r="T53" s="46"/>
      <c r="U53" s="46"/>
      <c r="V53" s="38">
        <f t="shared" si="6"/>
        <v>5215</v>
      </c>
      <c r="W53" s="38">
        <v>1000</v>
      </c>
      <c r="X53" s="71">
        <f t="shared" si="20"/>
        <v>4215</v>
      </c>
    </row>
    <row r="54" spans="1:24" x14ac:dyDescent="0.2">
      <c r="A54" s="99"/>
      <c r="B54" s="13" t="s">
        <v>20</v>
      </c>
      <c r="C54" s="47">
        <v>10000</v>
      </c>
      <c r="D54" s="45"/>
      <c r="E54" s="45"/>
      <c r="F54" s="45"/>
      <c r="G54" s="45"/>
      <c r="H54" s="45"/>
      <c r="I54" s="45"/>
      <c r="J54" s="65"/>
      <c r="K54" s="45"/>
      <c r="L54" s="45"/>
      <c r="M54" s="48"/>
      <c r="N54" s="45"/>
      <c r="O54" s="45"/>
      <c r="P54" s="45"/>
      <c r="Q54" s="45"/>
      <c r="R54" s="45"/>
      <c r="S54" s="66"/>
      <c r="T54" s="66"/>
      <c r="U54" s="66"/>
      <c r="V54" s="38">
        <f t="shared" si="6"/>
        <v>10000</v>
      </c>
      <c r="W54" s="38">
        <v>10000</v>
      </c>
      <c r="X54" s="71">
        <f t="shared" si="20"/>
        <v>0</v>
      </c>
    </row>
    <row r="55" spans="1:24" x14ac:dyDescent="0.2">
      <c r="A55" s="94"/>
      <c r="B55" s="95" t="s">
        <v>94</v>
      </c>
      <c r="C55" s="93">
        <v>49221</v>
      </c>
      <c r="D55" s="93">
        <v>19200</v>
      </c>
      <c r="E55" s="93">
        <v>32375</v>
      </c>
      <c r="F55" s="93">
        <v>160871</v>
      </c>
      <c r="G55" s="93">
        <v>83320</v>
      </c>
      <c r="H55" s="93">
        <v>137765</v>
      </c>
      <c r="I55" s="93">
        <v>40596</v>
      </c>
      <c r="J55" s="93">
        <v>66834</v>
      </c>
      <c r="K55" s="93">
        <v>26696</v>
      </c>
      <c r="L55" s="93">
        <v>61840</v>
      </c>
      <c r="M55" s="93">
        <v>33259</v>
      </c>
      <c r="N55" s="93">
        <v>52016</v>
      </c>
      <c r="O55" s="93">
        <v>532854</v>
      </c>
      <c r="P55" s="93">
        <v>43758</v>
      </c>
      <c r="Q55" s="93">
        <v>110938</v>
      </c>
      <c r="R55" s="93">
        <v>322662</v>
      </c>
      <c r="S55" s="96">
        <v>60838</v>
      </c>
      <c r="T55" s="96">
        <v>87488</v>
      </c>
      <c r="U55" s="96">
        <v>10000</v>
      </c>
      <c r="V55" s="38"/>
      <c r="W55" s="38"/>
      <c r="X55" s="71"/>
    </row>
    <row r="56" spans="1:24" x14ac:dyDescent="0.2">
      <c r="A56" s="94"/>
      <c r="B56" s="95" t="s">
        <v>93</v>
      </c>
      <c r="C56" s="93">
        <f t="shared" ref="C56:U56" si="27">C8+C13+C18+C19+C20+C21+C31+C34+C35+C36+C37+C38+C39+C44+C45+C47</f>
        <v>49720.670959999996</v>
      </c>
      <c r="D56" s="93">
        <f t="shared" si="27"/>
        <v>19200</v>
      </c>
      <c r="E56" s="93">
        <f t="shared" si="27"/>
        <v>32374.679292000001</v>
      </c>
      <c r="F56" s="93">
        <f t="shared" si="27"/>
        <v>161271.17572</v>
      </c>
      <c r="G56" s="93">
        <f t="shared" si="27"/>
        <v>82210.264191999988</v>
      </c>
      <c r="H56" s="93">
        <f t="shared" si="27"/>
        <v>137678.62992800001</v>
      </c>
      <c r="I56" s="93">
        <f t="shared" si="27"/>
        <v>36960.250840000008</v>
      </c>
      <c r="J56" s="93">
        <f t="shared" si="27"/>
        <v>61746.72015999999</v>
      </c>
      <c r="K56" s="93">
        <f t="shared" si="27"/>
        <v>26895.643260000001</v>
      </c>
      <c r="L56" s="93">
        <f t="shared" si="27"/>
        <v>62140.179939999987</v>
      </c>
      <c r="M56" s="93">
        <f t="shared" si="27"/>
        <v>30859.314920000001</v>
      </c>
      <c r="N56" s="93">
        <f t="shared" si="27"/>
        <v>52816.216279999993</v>
      </c>
      <c r="O56" s="93">
        <f t="shared" si="27"/>
        <v>532854.21207999997</v>
      </c>
      <c r="P56" s="93">
        <f t="shared" si="27"/>
        <v>43957.841799999995</v>
      </c>
      <c r="Q56" s="93">
        <f t="shared" si="27"/>
        <v>159387.86663999999</v>
      </c>
      <c r="R56" s="93">
        <f t="shared" si="27"/>
        <v>323561.58919999993</v>
      </c>
      <c r="S56" s="93">
        <f t="shared" si="27"/>
        <v>60837.728799999997</v>
      </c>
      <c r="T56" s="93">
        <f t="shared" si="27"/>
        <v>87488.132607999985</v>
      </c>
      <c r="U56" s="93">
        <f t="shared" si="27"/>
        <v>8800</v>
      </c>
      <c r="V56" s="38"/>
      <c r="W56" s="38"/>
      <c r="X56" s="71"/>
    </row>
    <row r="57" spans="1:24" x14ac:dyDescent="0.2">
      <c r="A57" s="94"/>
      <c r="B57" s="95" t="s">
        <v>92</v>
      </c>
      <c r="C57" s="93">
        <f t="shared" ref="C57:H57" si="28">C56-C55</f>
        <v>499.67095999999583</v>
      </c>
      <c r="D57" s="93">
        <f t="shared" si="28"/>
        <v>0</v>
      </c>
      <c r="E57" s="93">
        <f t="shared" si="28"/>
        <v>-0.32070799999928568</v>
      </c>
      <c r="F57" s="93">
        <f t="shared" si="28"/>
        <v>400.17571999999927</v>
      </c>
      <c r="G57" s="93">
        <f t="shared" si="28"/>
        <v>-1109.7358080000122</v>
      </c>
      <c r="H57" s="93">
        <f t="shared" si="28"/>
        <v>-86.370071999990614</v>
      </c>
      <c r="I57" s="93">
        <f t="shared" ref="I57:U57" si="29">I56-I55</f>
        <v>-3635.7491599999921</v>
      </c>
      <c r="J57" s="93">
        <f t="shared" si="29"/>
        <v>-5087.2798400000102</v>
      </c>
      <c r="K57" s="93">
        <f t="shared" si="29"/>
        <v>199.64326000000074</v>
      </c>
      <c r="L57" s="93">
        <f t="shared" si="29"/>
        <v>300.17993999998725</v>
      </c>
      <c r="M57" s="93">
        <f t="shared" si="29"/>
        <v>-2399.6850799999993</v>
      </c>
      <c r="N57" s="93">
        <f t="shared" si="29"/>
        <v>800.21627999999328</v>
      </c>
      <c r="O57" s="93">
        <f t="shared" si="29"/>
        <v>0.21207999996840954</v>
      </c>
      <c r="P57" s="93">
        <f t="shared" si="29"/>
        <v>199.84179999999469</v>
      </c>
      <c r="Q57" s="93">
        <f t="shared" si="29"/>
        <v>48449.866639999993</v>
      </c>
      <c r="R57" s="93">
        <f t="shared" si="29"/>
        <v>899.58919999992941</v>
      </c>
      <c r="S57" s="93">
        <f t="shared" si="29"/>
        <v>-0.27120000000286382</v>
      </c>
      <c r="T57" s="93">
        <f t="shared" si="29"/>
        <v>0.13260799998533912</v>
      </c>
      <c r="U57" s="93">
        <f t="shared" si="29"/>
        <v>-1200</v>
      </c>
      <c r="V57" s="38"/>
      <c r="W57" s="38"/>
      <c r="X57" s="71"/>
    </row>
    <row r="58" spans="1:24" x14ac:dyDescent="0.2">
      <c r="A58" s="18"/>
      <c r="B58" s="19" t="s">
        <v>18</v>
      </c>
      <c r="C58" s="67"/>
      <c r="D58" s="67"/>
      <c r="E58" s="6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8">
        <f>SUM(V46+V47+V48+V49+V50+V51+V52+V53+V54)</f>
        <v>2055076.1166199995</v>
      </c>
      <c r="W58" s="38">
        <v>2011631</v>
      </c>
      <c r="X58" s="71">
        <f t="shared" si="20"/>
        <v>43445.11661999952</v>
      </c>
    </row>
    <row r="59" spans="1:24" x14ac:dyDescent="0.2">
      <c r="A59" s="20"/>
      <c r="B59" s="21" t="s">
        <v>57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2"/>
      <c r="T59" s="22"/>
      <c r="U59" s="22"/>
      <c r="V59" s="24"/>
      <c r="W59" s="69"/>
      <c r="X59" s="1"/>
    </row>
  </sheetData>
  <mergeCells count="9">
    <mergeCell ref="A47:A54"/>
    <mergeCell ref="A1:T1"/>
    <mergeCell ref="V2:X2"/>
    <mergeCell ref="M2:O2"/>
    <mergeCell ref="Q2:R2"/>
    <mergeCell ref="F2:H2"/>
    <mergeCell ref="A2:B2"/>
    <mergeCell ref="I2:K2"/>
    <mergeCell ref="C2:D2"/>
  </mergeCells>
  <pageMargins left="0.70866141732283472" right="0.51181102362204722" top="0.47244094488188981" bottom="0.47244094488188981" header="0.31496062992125984" footer="0.11811023622047245"/>
  <pageSetup paperSize="9" scale="66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8"/>
  <sheetViews>
    <sheetView workbookViewId="0">
      <selection activeCell="D12" sqref="D12"/>
    </sheetView>
  </sheetViews>
  <sheetFormatPr defaultRowHeight="12.75" x14ac:dyDescent="0.2"/>
  <cols>
    <col min="1" max="1" width="8.140625" customWidth="1"/>
    <col min="2" max="2" width="25.85546875" customWidth="1"/>
    <col min="3" max="3" width="21.5703125" customWidth="1"/>
  </cols>
  <sheetData>
    <row r="1" spans="1:3" ht="21" x14ac:dyDescent="0.2">
      <c r="A1" s="100" t="s">
        <v>85</v>
      </c>
      <c r="B1" s="100"/>
      <c r="C1" s="100"/>
    </row>
    <row r="2" spans="1:3" ht="42.75" customHeight="1" x14ac:dyDescent="0.2">
      <c r="A2" s="108" t="s">
        <v>61</v>
      </c>
      <c r="B2" s="109"/>
      <c r="C2" s="74" t="s">
        <v>2</v>
      </c>
    </row>
    <row r="3" spans="1:3" ht="45" x14ac:dyDescent="0.2">
      <c r="A3" s="27" t="s">
        <v>22</v>
      </c>
      <c r="B3" s="75"/>
      <c r="C3" s="76" t="s">
        <v>2</v>
      </c>
    </row>
    <row r="4" spans="1:3" ht="12.75" hidden="1" customHeight="1" x14ac:dyDescent="0.2">
      <c r="A4" s="28"/>
      <c r="B4" s="29"/>
      <c r="C4" s="25"/>
    </row>
    <row r="5" spans="1:3" ht="12.75" hidden="1" customHeight="1" x14ac:dyDescent="0.2">
      <c r="A5" s="28"/>
      <c r="B5" s="29"/>
      <c r="C5" s="25"/>
    </row>
    <row r="6" spans="1:3" ht="12.75" hidden="1" customHeight="1" x14ac:dyDescent="0.2">
      <c r="A6" s="28"/>
      <c r="B6" s="29"/>
      <c r="C6" s="25"/>
    </row>
    <row r="7" spans="1:3" ht="12.75" hidden="1" customHeight="1" x14ac:dyDescent="0.2">
      <c r="A7" s="30"/>
      <c r="B7" s="31"/>
      <c r="C7" s="26"/>
    </row>
    <row r="8" spans="1:3" x14ac:dyDescent="0.2">
      <c r="A8" s="2">
        <v>501</v>
      </c>
      <c r="B8" s="3" t="s">
        <v>30</v>
      </c>
      <c r="C8" s="40">
        <f t="shared" ref="C8" si="0">SUM(C9:C12)</f>
        <v>1500</v>
      </c>
    </row>
    <row r="9" spans="1:3" x14ac:dyDescent="0.2">
      <c r="A9" s="4">
        <v>501001</v>
      </c>
      <c r="B9" s="5" t="s">
        <v>31</v>
      </c>
      <c r="C9" s="41"/>
    </row>
    <row r="10" spans="1:3" x14ac:dyDescent="0.2">
      <c r="A10" s="4">
        <v>501002</v>
      </c>
      <c r="B10" s="5" t="s">
        <v>32</v>
      </c>
      <c r="C10" s="41">
        <v>600</v>
      </c>
    </row>
    <row r="11" spans="1:3" x14ac:dyDescent="0.2">
      <c r="A11" s="4">
        <v>501004</v>
      </c>
      <c r="B11" s="8" t="s">
        <v>33</v>
      </c>
      <c r="C11" s="41">
        <v>300</v>
      </c>
    </row>
    <row r="12" spans="1:3" x14ac:dyDescent="0.2">
      <c r="A12" s="4">
        <v>501006</v>
      </c>
      <c r="B12" s="5" t="s">
        <v>34</v>
      </c>
      <c r="C12" s="43">
        <v>600</v>
      </c>
    </row>
    <row r="13" spans="1:3" x14ac:dyDescent="0.2">
      <c r="A13" s="2">
        <v>502</v>
      </c>
      <c r="B13" s="3" t="s">
        <v>35</v>
      </c>
      <c r="C13" s="44"/>
    </row>
    <row r="14" spans="1:3" x14ac:dyDescent="0.2">
      <c r="A14" s="4">
        <v>502000</v>
      </c>
      <c r="B14" s="5" t="s">
        <v>36</v>
      </c>
      <c r="C14" s="46"/>
    </row>
    <row r="15" spans="1:3" x14ac:dyDescent="0.2">
      <c r="A15" s="4">
        <v>502001</v>
      </c>
      <c r="B15" s="5" t="s">
        <v>37</v>
      </c>
      <c r="C15" s="46"/>
    </row>
    <row r="16" spans="1:3" x14ac:dyDescent="0.2">
      <c r="A16" s="4">
        <v>502002</v>
      </c>
      <c r="B16" s="6" t="s">
        <v>38</v>
      </c>
      <c r="C16" s="46"/>
    </row>
    <row r="17" spans="1:3" x14ac:dyDescent="0.2">
      <c r="A17" s="4">
        <v>502003</v>
      </c>
      <c r="B17" s="6" t="s">
        <v>39</v>
      </c>
      <c r="C17" s="49"/>
    </row>
    <row r="18" spans="1:3" x14ac:dyDescent="0.2">
      <c r="A18" s="4">
        <v>511</v>
      </c>
      <c r="B18" s="6" t="s">
        <v>7</v>
      </c>
      <c r="C18" s="47">
        <v>50</v>
      </c>
    </row>
    <row r="19" spans="1:3" x14ac:dyDescent="0.2">
      <c r="A19" s="4">
        <v>512</v>
      </c>
      <c r="B19" s="6" t="s">
        <v>8</v>
      </c>
      <c r="C19" s="46">
        <v>200</v>
      </c>
    </row>
    <row r="20" spans="1:3" x14ac:dyDescent="0.2">
      <c r="A20" s="4">
        <v>513</v>
      </c>
      <c r="B20" s="5" t="s">
        <v>9</v>
      </c>
      <c r="C20" s="46">
        <v>400</v>
      </c>
    </row>
    <row r="21" spans="1:3" x14ac:dyDescent="0.2">
      <c r="A21" s="2">
        <v>518</v>
      </c>
      <c r="B21" s="3" t="s">
        <v>40</v>
      </c>
      <c r="C21" s="44">
        <f t="shared" ref="C21" si="1">SUM(C22:C30)</f>
        <v>250</v>
      </c>
    </row>
    <row r="22" spans="1:3" x14ac:dyDescent="0.2">
      <c r="A22" s="7">
        <v>518001</v>
      </c>
      <c r="B22" s="8" t="s">
        <v>71</v>
      </c>
      <c r="C22" s="46"/>
    </row>
    <row r="23" spans="1:3" x14ac:dyDescent="0.2">
      <c r="A23" s="7">
        <v>518002</v>
      </c>
      <c r="B23" s="8" t="s">
        <v>41</v>
      </c>
      <c r="C23" s="46"/>
    </row>
    <row r="24" spans="1:3" x14ac:dyDescent="0.2">
      <c r="A24" s="7">
        <v>518003</v>
      </c>
      <c r="B24" s="8" t="s">
        <v>42</v>
      </c>
      <c r="C24" s="46"/>
    </row>
    <row r="25" spans="1:3" x14ac:dyDescent="0.2">
      <c r="A25" s="7">
        <v>518005</v>
      </c>
      <c r="B25" s="8" t="s">
        <v>43</v>
      </c>
      <c r="C25" s="46">
        <v>100</v>
      </c>
    </row>
    <row r="26" spans="1:3" x14ac:dyDescent="0.2">
      <c r="A26" s="7">
        <v>518006</v>
      </c>
      <c r="B26" s="8" t="s">
        <v>44</v>
      </c>
      <c r="C26" s="46">
        <v>100</v>
      </c>
    </row>
    <row r="27" spans="1:3" x14ac:dyDescent="0.2">
      <c r="A27" s="7">
        <v>518007</v>
      </c>
      <c r="B27" s="8" t="s">
        <v>45</v>
      </c>
      <c r="C27" s="46"/>
    </row>
    <row r="28" spans="1:3" x14ac:dyDescent="0.2">
      <c r="A28" s="7">
        <v>518009</v>
      </c>
      <c r="B28" s="8" t="s">
        <v>46</v>
      </c>
      <c r="C28" s="52">
        <v>50</v>
      </c>
    </row>
    <row r="29" spans="1:3" x14ac:dyDescent="0.2">
      <c r="A29" s="9" t="s">
        <v>47</v>
      </c>
      <c r="B29" s="5" t="s">
        <v>69</v>
      </c>
      <c r="C29" s="46"/>
    </row>
    <row r="30" spans="1:3" x14ac:dyDescent="0.2">
      <c r="A30" s="9" t="s">
        <v>48</v>
      </c>
      <c r="B30" s="5" t="s">
        <v>70</v>
      </c>
      <c r="C30" s="46"/>
    </row>
    <row r="31" spans="1:3" x14ac:dyDescent="0.2">
      <c r="A31" s="10" t="s">
        <v>49</v>
      </c>
      <c r="B31" s="11" t="s">
        <v>50</v>
      </c>
      <c r="C31" s="38">
        <f t="shared" ref="C31" si="2">SUM(C32:C33)</f>
        <v>35640</v>
      </c>
    </row>
    <row r="32" spans="1:3" x14ac:dyDescent="0.2">
      <c r="A32" s="12">
        <v>521001</v>
      </c>
      <c r="B32" s="13" t="s">
        <v>10</v>
      </c>
      <c r="C32" s="46">
        <v>35640</v>
      </c>
    </row>
    <row r="33" spans="1:3" x14ac:dyDescent="0.2">
      <c r="A33" s="12">
        <v>521002</v>
      </c>
      <c r="B33" s="13" t="s">
        <v>11</v>
      </c>
      <c r="C33" s="48"/>
    </row>
    <row r="34" spans="1:3" x14ac:dyDescent="0.2">
      <c r="A34" s="14">
        <v>524</v>
      </c>
      <c r="B34" s="13" t="s">
        <v>12</v>
      </c>
      <c r="C34" s="48">
        <f t="shared" ref="C34" si="3">SUM(C31*35.2/100)</f>
        <v>12545.28</v>
      </c>
    </row>
    <row r="35" spans="1:3" x14ac:dyDescent="0.2">
      <c r="A35" s="14">
        <v>527</v>
      </c>
      <c r="B35" s="13" t="s">
        <v>13</v>
      </c>
      <c r="C35" s="48">
        <f t="shared" ref="C35" si="4">SUM(C32*0.009)</f>
        <v>320.76</v>
      </c>
    </row>
    <row r="36" spans="1:3" x14ac:dyDescent="0.2">
      <c r="A36" s="14">
        <v>532</v>
      </c>
      <c r="B36" s="13" t="s">
        <v>14</v>
      </c>
      <c r="C36" s="46"/>
    </row>
    <row r="37" spans="1:3" x14ac:dyDescent="0.2">
      <c r="A37" s="14">
        <v>538</v>
      </c>
      <c r="B37" s="13" t="s">
        <v>15</v>
      </c>
      <c r="C37" s="46"/>
    </row>
    <row r="38" spans="1:3" x14ac:dyDescent="0.2">
      <c r="A38" s="14">
        <v>547</v>
      </c>
      <c r="B38" s="13" t="s">
        <v>27</v>
      </c>
      <c r="C38" s="46">
        <v>1000</v>
      </c>
    </row>
    <row r="39" spans="1:3" x14ac:dyDescent="0.2">
      <c r="A39" s="15">
        <v>549</v>
      </c>
      <c r="B39" s="16" t="s">
        <v>16</v>
      </c>
      <c r="C39" s="44"/>
    </row>
    <row r="40" spans="1:3" x14ac:dyDescent="0.2">
      <c r="A40" s="12">
        <v>549001</v>
      </c>
      <c r="B40" s="13" t="s">
        <v>51</v>
      </c>
      <c r="C40" s="46"/>
    </row>
    <row r="41" spans="1:3" x14ac:dyDescent="0.2">
      <c r="A41" s="12">
        <v>549004</v>
      </c>
      <c r="B41" s="13" t="s">
        <v>52</v>
      </c>
      <c r="C41" s="46"/>
    </row>
    <row r="42" spans="1:3" x14ac:dyDescent="0.2">
      <c r="A42" s="12">
        <v>549005</v>
      </c>
      <c r="B42" s="13" t="s">
        <v>53</v>
      </c>
      <c r="C42" s="46"/>
    </row>
    <row r="43" spans="1:3" x14ac:dyDescent="0.2">
      <c r="A43" s="12" t="s">
        <v>54</v>
      </c>
      <c r="B43" s="13" t="s">
        <v>55</v>
      </c>
      <c r="C43" s="46"/>
    </row>
    <row r="44" spans="1:3" x14ac:dyDescent="0.2">
      <c r="A44" s="14">
        <v>563</v>
      </c>
      <c r="B44" s="35" t="s">
        <v>21</v>
      </c>
      <c r="C44" s="46"/>
    </row>
    <row r="45" spans="1:3" x14ac:dyDescent="0.2">
      <c r="A45" s="14">
        <v>591</v>
      </c>
      <c r="B45" s="35" t="s">
        <v>17</v>
      </c>
      <c r="C45" s="46"/>
    </row>
    <row r="46" spans="1:3" x14ac:dyDescent="0.2">
      <c r="A46" s="17"/>
      <c r="B46" s="35" t="s">
        <v>18</v>
      </c>
      <c r="C46" s="60">
        <f t="shared" ref="C46" si="5">C8+C13+C18+C19+C20+C21+C31+C34+C35+C36+C37+C38+C39+C44+C45</f>
        <v>51906.04</v>
      </c>
    </row>
    <row r="47" spans="1:3" x14ac:dyDescent="0.2">
      <c r="A47" s="97" t="s">
        <v>83</v>
      </c>
      <c r="B47" s="35" t="s">
        <v>56</v>
      </c>
      <c r="C47" s="45">
        <v>11000</v>
      </c>
    </row>
    <row r="48" spans="1:3" x14ac:dyDescent="0.2">
      <c r="A48" s="98"/>
      <c r="B48" s="35" t="s">
        <v>28</v>
      </c>
      <c r="C48" s="62"/>
    </row>
    <row r="49" spans="1:3" x14ac:dyDescent="0.2">
      <c r="A49" s="98"/>
      <c r="B49" s="35" t="s">
        <v>68</v>
      </c>
      <c r="C49" s="62"/>
    </row>
    <row r="50" spans="1:3" ht="22.5" x14ac:dyDescent="0.2">
      <c r="A50" s="98"/>
      <c r="B50" s="80" t="s">
        <v>79</v>
      </c>
      <c r="C50" s="45"/>
    </row>
    <row r="51" spans="1:3" x14ac:dyDescent="0.2">
      <c r="A51" s="98"/>
      <c r="B51" s="35" t="s">
        <v>29</v>
      </c>
      <c r="C51" s="46"/>
    </row>
    <row r="52" spans="1:3" x14ac:dyDescent="0.2">
      <c r="A52" s="98"/>
      <c r="B52" s="35" t="s">
        <v>76</v>
      </c>
      <c r="C52" s="46"/>
    </row>
    <row r="53" spans="1:3" x14ac:dyDescent="0.2">
      <c r="A53" s="98"/>
      <c r="B53" s="35" t="s">
        <v>75</v>
      </c>
      <c r="C53" s="46"/>
    </row>
    <row r="54" spans="1:3" x14ac:dyDescent="0.2">
      <c r="A54" s="98"/>
      <c r="B54" s="35" t="s">
        <v>72</v>
      </c>
      <c r="C54" s="46"/>
    </row>
    <row r="55" spans="1:3" x14ac:dyDescent="0.2">
      <c r="A55" s="98"/>
      <c r="B55" s="35" t="s">
        <v>73</v>
      </c>
      <c r="C55" s="46"/>
    </row>
    <row r="56" spans="1:3" x14ac:dyDescent="0.2">
      <c r="A56" s="99"/>
      <c r="B56" s="13" t="s">
        <v>20</v>
      </c>
      <c r="C56" s="45"/>
    </row>
    <row r="57" spans="1:3" x14ac:dyDescent="0.2">
      <c r="A57" s="18"/>
      <c r="B57" s="19" t="s">
        <v>18</v>
      </c>
      <c r="C57" s="39"/>
    </row>
    <row r="58" spans="1:3" x14ac:dyDescent="0.2">
      <c r="A58" s="20"/>
      <c r="B58" s="21" t="s">
        <v>57</v>
      </c>
      <c r="C58" s="22"/>
    </row>
  </sheetData>
  <mergeCells count="3">
    <mergeCell ref="A47:A56"/>
    <mergeCell ref="A1:C1"/>
    <mergeCell ref="A2:B2"/>
  </mergeCells>
  <phoneticPr fontId="1" type="noConversion"/>
  <pageMargins left="0.75" right="0.75" top="1" bottom="1" header="0.4921259845" footer="0.492125984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25" sqref="C2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Hárok3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 Polaková</cp:lastModifiedBy>
  <cp:lastPrinted>2017-09-22T09:04:27Z</cp:lastPrinted>
  <dcterms:created xsi:type="dcterms:W3CDTF">2010-01-08T13:37:00Z</dcterms:created>
  <dcterms:modified xsi:type="dcterms:W3CDTF">2017-11-08T14:57:53Z</dcterms:modified>
</cp:coreProperties>
</file>