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ica slovenská\ROZPOČTY\ROZPOČET 2020\Zmena rozpočtu č.2\rozpočet 092020\"/>
    </mc:Choice>
  </mc:AlternateContent>
  <bookViews>
    <workbookView xWindow="-2625" yWindow="570" windowWidth="15600" windowHeight="7170"/>
  </bookViews>
  <sheets>
    <sheet name="Hárok1" sheetId="1" r:id="rId1"/>
    <sheet name="Hárok3" sheetId="3" r:id="rId2"/>
    <sheet name="Hárok2" sheetId="4" r:id="rId3"/>
  </sheets>
  <calcPr calcId="152511"/>
</workbook>
</file>

<file path=xl/calcChain.xml><?xml version="1.0" encoding="utf-8"?>
<calcChain xmlns="http://schemas.openxmlformats.org/spreadsheetml/2006/main">
  <c r="R32" i="1" l="1"/>
  <c r="L32" i="1"/>
  <c r="E32" i="1" l="1"/>
  <c r="D32" i="1"/>
  <c r="Q32" i="1"/>
  <c r="N32" i="1"/>
  <c r="O32" i="1"/>
  <c r="S32" i="1" l="1"/>
  <c r="P32" i="1"/>
  <c r="M32" i="1"/>
  <c r="K32" i="1"/>
  <c r="J32" i="1"/>
  <c r="I32" i="1"/>
  <c r="H32" i="1"/>
  <c r="G32" i="1"/>
  <c r="F32" i="1"/>
  <c r="X9" i="1" l="1"/>
  <c r="X11" i="1"/>
  <c r="X14" i="1"/>
  <c r="X16" i="1"/>
  <c r="X17" i="1"/>
  <c r="X20" i="1"/>
  <c r="X22" i="1"/>
  <c r="X24" i="1"/>
  <c r="X27" i="1"/>
  <c r="X28" i="1"/>
  <c r="X37" i="1"/>
  <c r="X38" i="1"/>
  <c r="X39" i="1"/>
  <c r="X40" i="1"/>
  <c r="X41" i="1"/>
  <c r="X42" i="1"/>
  <c r="X43" i="1"/>
  <c r="X44" i="1"/>
  <c r="X48" i="1"/>
  <c r="X49" i="1"/>
  <c r="X50" i="1"/>
  <c r="X51" i="1"/>
  <c r="X53" i="1"/>
  <c r="V54" i="1" l="1"/>
  <c r="X54" i="1" s="1"/>
  <c r="K10" i="1" l="1"/>
  <c r="J11" i="1"/>
  <c r="E26" i="1"/>
  <c r="V55" i="1" l="1"/>
  <c r="X55" i="1" s="1"/>
  <c r="V53" i="1"/>
  <c r="V52" i="1"/>
  <c r="X52" i="1" s="1"/>
  <c r="V51" i="1"/>
  <c r="V50" i="1"/>
  <c r="V49" i="1"/>
  <c r="V48" i="1"/>
  <c r="V47" i="1"/>
  <c r="X47" i="1" s="1"/>
  <c r="V45" i="1"/>
  <c r="X45" i="1" s="1"/>
  <c r="V44" i="1"/>
  <c r="V43" i="1"/>
  <c r="V42" i="1"/>
  <c r="V41" i="1"/>
  <c r="V40" i="1"/>
  <c r="V38" i="1"/>
  <c r="V37" i="1"/>
  <c r="V36" i="1"/>
  <c r="X36" i="1" s="1"/>
  <c r="V33" i="1"/>
  <c r="X33" i="1" s="1"/>
  <c r="V30" i="1"/>
  <c r="X30" i="1" s="1"/>
  <c r="V28" i="1"/>
  <c r="V27" i="1"/>
  <c r="V26" i="1"/>
  <c r="X26" i="1" s="1"/>
  <c r="V25" i="1"/>
  <c r="X25" i="1" s="1"/>
  <c r="V24" i="1"/>
  <c r="V22" i="1"/>
  <c r="V20" i="1"/>
  <c r="V18" i="1"/>
  <c r="X18" i="1" s="1"/>
  <c r="V17" i="1"/>
  <c r="V16" i="1"/>
  <c r="V15" i="1"/>
  <c r="X15" i="1" s="1"/>
  <c r="V14" i="1"/>
  <c r="V12" i="1"/>
  <c r="X12" i="1" s="1"/>
  <c r="V11" i="1"/>
  <c r="V10" i="1"/>
  <c r="X10" i="1" s="1"/>
  <c r="V9" i="1"/>
  <c r="T21" i="1" l="1"/>
  <c r="J35" i="1" l="1"/>
  <c r="I35" i="1"/>
  <c r="G35" i="1"/>
  <c r="O35" i="1"/>
  <c r="V29" i="1" l="1"/>
  <c r="X29" i="1" s="1"/>
  <c r="V23" i="1" l="1"/>
  <c r="X23" i="1" s="1"/>
  <c r="V19" i="1" l="1"/>
  <c r="X19" i="1" s="1"/>
  <c r="D8" i="1" l="1"/>
  <c r="U31" i="1" l="1"/>
  <c r="Q35" i="1" l="1"/>
  <c r="P35" i="1"/>
  <c r="L35" i="1"/>
  <c r="K35" i="1"/>
  <c r="E35" i="1" l="1"/>
  <c r="U21" i="1" l="1"/>
  <c r="U46" i="1" s="1"/>
  <c r="S35" i="1"/>
  <c r="R35" i="1"/>
  <c r="N35" i="1"/>
  <c r="M35" i="1"/>
  <c r="H35" i="1"/>
  <c r="F35" i="1"/>
  <c r="C35" i="3" l="1"/>
  <c r="C31" i="3"/>
  <c r="C34" i="3" s="1"/>
  <c r="C21" i="3"/>
  <c r="C8" i="3"/>
  <c r="C46" i="3" l="1"/>
  <c r="E31" i="1"/>
  <c r="E21" i="1"/>
  <c r="E8" i="1"/>
  <c r="E34" i="1" l="1"/>
  <c r="E46" i="1" s="1"/>
  <c r="N8" i="1" l="1"/>
  <c r="M31" i="1" l="1"/>
  <c r="M34" i="1" s="1"/>
  <c r="M21" i="1"/>
  <c r="M8" i="1"/>
  <c r="K31" i="1"/>
  <c r="K34" i="1" s="1"/>
  <c r="K21" i="1"/>
  <c r="K8" i="1"/>
  <c r="H31" i="1"/>
  <c r="G31" i="1"/>
  <c r="H21" i="1"/>
  <c r="G21" i="1"/>
  <c r="H8" i="1"/>
  <c r="G8" i="1"/>
  <c r="F31" i="1"/>
  <c r="F34" i="1" s="1"/>
  <c r="F21" i="1"/>
  <c r="F8" i="1"/>
  <c r="D21" i="1"/>
  <c r="G34" i="1" l="1"/>
  <c r="H34" i="1"/>
  <c r="H46" i="1" s="1"/>
  <c r="F46" i="1"/>
  <c r="M46" i="1"/>
  <c r="K46" i="1"/>
  <c r="G46" i="1" l="1"/>
  <c r="T31" i="1" l="1"/>
  <c r="T46" i="1" l="1"/>
  <c r="O8" i="1" l="1"/>
  <c r="O39" i="1" l="1"/>
  <c r="O13" i="1" l="1"/>
  <c r="J31" i="1" l="1"/>
  <c r="J34" i="1" l="1"/>
  <c r="R13" i="1"/>
  <c r="V13" i="1" s="1"/>
  <c r="X13" i="1" s="1"/>
  <c r="R21" i="1"/>
  <c r="Q21" i="1"/>
  <c r="P21" i="1"/>
  <c r="O21" i="1"/>
  <c r="N21" i="1"/>
  <c r="L21" i="1"/>
  <c r="J21" i="1"/>
  <c r="I21" i="1"/>
  <c r="S21" i="1"/>
  <c r="R8" i="1"/>
  <c r="Q8" i="1"/>
  <c r="P8" i="1"/>
  <c r="L8" i="1"/>
  <c r="J8" i="1"/>
  <c r="I8" i="1"/>
  <c r="S8" i="1"/>
  <c r="R39" i="1"/>
  <c r="V39" i="1" s="1"/>
  <c r="Q31" i="1"/>
  <c r="Q34" i="1" s="1"/>
  <c r="I31" i="1"/>
  <c r="L31" i="1"/>
  <c r="L34" i="1" s="1"/>
  <c r="N31" i="1"/>
  <c r="N34" i="1" s="1"/>
  <c r="O31" i="1"/>
  <c r="P31" i="1"/>
  <c r="P34" i="1" s="1"/>
  <c r="R31" i="1"/>
  <c r="S31" i="1"/>
  <c r="S34" i="1" s="1"/>
  <c r="V8" i="1" l="1"/>
  <c r="X8" i="1" s="1"/>
  <c r="V21" i="1"/>
  <c r="X21" i="1" s="1"/>
  <c r="I34" i="1"/>
  <c r="I46" i="1" s="1"/>
  <c r="O34" i="1"/>
  <c r="O46" i="1" s="1"/>
  <c r="R34" i="1"/>
  <c r="N46" i="1"/>
  <c r="Q46" i="1"/>
  <c r="L46" i="1"/>
  <c r="J46" i="1"/>
  <c r="P46" i="1"/>
  <c r="S46" i="1"/>
  <c r="R46" i="1" l="1"/>
  <c r="V32" i="1"/>
  <c r="X32" i="1" s="1"/>
  <c r="D35" i="1"/>
  <c r="V35" i="1" s="1"/>
  <c r="X35" i="1" s="1"/>
  <c r="D31" i="1"/>
  <c r="V31" i="1" s="1"/>
  <c r="X31" i="1" s="1"/>
  <c r="D34" i="1" l="1"/>
  <c r="D46" i="1" l="1"/>
  <c r="V46" i="1" s="1"/>
  <c r="V34" i="1"/>
  <c r="X34" i="1" s="1"/>
  <c r="V56" i="1" l="1"/>
  <c r="X56" i="1" s="1"/>
  <c r="X46" i="1"/>
</calcChain>
</file>

<file path=xl/comments1.xml><?xml version="1.0" encoding="utf-8"?>
<comments xmlns="http://schemas.openxmlformats.org/spreadsheetml/2006/main">
  <authors>
    <author>Gustiňák Jaroslav</author>
    <author>Školenie</author>
  </authors>
  <commentList>
    <comment ref="H10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-100</t>
        </r>
      </text>
    </comment>
    <comment ref="L12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+1400</t>
        </r>
      </text>
    </comment>
    <comment ref="N12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-500</t>
        </r>
      </text>
    </comment>
    <comment ref="P12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+250, rečnícky pult</t>
        </r>
      </text>
    </comment>
    <comment ref="O14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-1300, odhad podľa spotreby 2019
</t>
        </r>
      </text>
    </comment>
    <comment ref="R14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- 500, odh. Podľa spotreby 2019</t>
        </r>
      </text>
    </comment>
    <comment ref="R15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-200, odhad podľa spoptreby 2019</t>
        </r>
      </text>
    </comment>
    <comment ref="R16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-2300, odhad podľa spotreby 2019</t>
        </r>
      </text>
    </comment>
    <comment ref="O17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- 5900, odhad podľ a spotreby 2019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- 1 200, zreálnenie</t>
        </r>
      </text>
    </comment>
    <comment ref="J1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+150</t>
        </r>
      </text>
    </comment>
    <comment ref="K1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-300</t>
        </r>
      </text>
    </comment>
    <comment ref="M1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-100</t>
        </r>
      </text>
    </comment>
    <comment ref="N1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-200</t>
        </r>
      </text>
    </comment>
    <comment ref="D20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- 100, zreálnenie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zreálnenie predpokl. skutočnosti</t>
        </r>
      </text>
    </comment>
    <comment ref="L25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-110</t>
        </r>
      </text>
    </comment>
    <comment ref="D26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- 2100, zreálnenie</t>
        </r>
      </text>
    </comment>
    <comment ref="F26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>, zreálnenie predpokladanej skutočnosti</t>
        </r>
      </text>
    </comment>
    <comment ref="H26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-400</t>
        </r>
      </text>
    </comment>
    <comment ref="N26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-300</t>
        </r>
      </text>
    </comment>
    <comment ref="F2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zreálnenie predpokl. skutočnosti</t>
        </r>
      </text>
    </comment>
    <comment ref="H2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zníženie o 1200,-, presun 10 000,- na tlač, 1700,- na OON</t>
        </r>
      </text>
    </comment>
    <comment ref="I29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zreálnenie nákladov - na prílohu Sl. P ( Lomenčík)</t>
        </r>
      </text>
    </comment>
    <comment ref="F30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zreálnenie predpokl. skutočnosti</t>
        </r>
      </text>
    </comment>
    <comment ref="G30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- 500, zreálnenie nákladov</t>
        </r>
      </text>
    </comment>
    <comment ref="H30" authorId="1" shapeId="0">
      <text>
        <r>
          <rPr>
            <sz val="9"/>
            <color indexed="81"/>
            <rFont val="Tahoma"/>
            <family val="2"/>
            <charset val="238"/>
          </rPr>
          <t>Hlas Matice len 2x ročne
Slovensko-národné spektrum 2x, zníženie o 1000,-</t>
        </r>
      </text>
    </comment>
    <comment ref="I30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- 6500, Orol tatranský - nová platforma bude tlačená v nákladoch Sl. P.</t>
        </r>
      </text>
    </comment>
    <comment ref="D3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+12591, presun riad. sekr. BA
</t>
        </r>
      </text>
    </comment>
    <comment ref="E32" authorId="0" shapeId="0">
      <text>
        <r>
          <rPr>
            <sz val="9"/>
            <color indexed="81"/>
            <rFont val="Segoe UI"/>
            <family val="2"/>
            <charset val="238"/>
          </rPr>
          <t>aktualizácia mzd. Nákladov v zmysle posledných pers. zmien
( Svobodová zostala v PP)</t>
        </r>
      </text>
    </comment>
    <comment ref="I32" authorId="0" shapeId="0">
      <text>
        <r>
          <rPr>
            <b/>
            <sz val="9"/>
            <color indexed="81"/>
            <rFont val="Segoe UI"/>
            <family val="2"/>
            <charset val="238"/>
          </rPr>
          <t>aktualizácia podľa skut. stavu</t>
        </r>
        <r>
          <rPr>
            <sz val="9"/>
            <color indexed="81"/>
            <rFont val="Segoe UI"/>
            <family val="2"/>
            <charset val="238"/>
          </rPr>
          <t xml:space="preserve">
+ 13 266</t>
        </r>
      </text>
    </comment>
    <comment ref="L32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zreálnenie stavu čerp.</t>
        </r>
      </text>
    </comment>
    <comment ref="N3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aktualizácia nákladov
odhad odstupné a odchodné 2 pracovníkov, nový pracovník
</t>
        </r>
      </text>
    </comment>
    <comment ref="O3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aktualizácia podľa skut. stavu
</t>
        </r>
      </text>
    </comment>
    <comment ref="Q32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aktualizácia podľa skut. Stavu - odchod Lipničanová, nová Mazancová</t>
        </r>
      </text>
    </comment>
    <comment ref="R32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
aktualizácia nákladov podľa skut.stavu</t>
        </r>
      </text>
    </comment>
    <comment ref="S32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aktualizácia podľa skut. Stavu.
</t>
        </r>
      </text>
    </comment>
    <comment ref="H33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presun z AH 2000 + aktualizácia na skut. stav</t>
        </r>
      </text>
    </comment>
    <comment ref="N33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aj dohoda na vedenie IV MS</t>
        </r>
      </text>
    </comment>
    <comment ref="O33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 aktualizácia podľa skut stavu</t>
        </r>
      </text>
    </comment>
    <comment ref="O36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-336</t>
        </r>
      </text>
    </comment>
    <comment ref="S38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doplnená akvizícia - nákup čižiem 10x a krpcov 5x - všetko ručne šité</t>
        </r>
      </text>
    </comment>
    <comment ref="Q45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skut. stav</t>
        </r>
      </text>
    </comment>
    <comment ref="R47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+12300</t>
        </r>
      </text>
    </comment>
    <comment ref="D51" authorId="0" shapeId="0">
      <text>
        <r>
          <rPr>
            <sz val="9"/>
            <color indexed="81"/>
            <rFont val="Segoe UI"/>
            <family val="2"/>
            <charset val="238"/>
          </rPr>
          <t xml:space="preserve">+1620, úroky z pôžičky 80 000,- EUR za rok 2020
</t>
        </r>
      </text>
    </comment>
    <comment ref="D52" authorId="0" shapeId="0">
      <text>
        <r>
          <rPr>
            <b/>
            <sz val="9"/>
            <color indexed="81"/>
            <rFont val="Segoe UI"/>
            <family val="2"/>
            <charset val="238"/>
          </rPr>
          <t>Gustiňák Jaroslav:</t>
        </r>
        <r>
          <rPr>
            <sz val="9"/>
            <color indexed="81"/>
            <rFont val="Segoe UI"/>
            <family val="2"/>
            <charset val="238"/>
          </rPr>
          <t xml:space="preserve">
- 10 000,- EUR, nerealiz. Podujatia kvôli korone a iné prekážky</t>
        </r>
      </text>
    </comment>
    <comment ref="D54" authorId="0" shapeId="0">
      <text>
        <r>
          <rPr>
            <b/>
            <sz val="9"/>
            <color indexed="81"/>
            <rFont val="Segoe UI"/>
            <family val="2"/>
            <charset val="238"/>
          </rPr>
          <t>Výdavky na zo zákona povinné rekreačné poukazy</t>
        </r>
        <r>
          <rPr>
            <sz val="9"/>
            <color indexed="81"/>
            <rFont val="Segoe UI"/>
            <family val="2"/>
            <charset val="238"/>
          </rPr>
          <t xml:space="preserve">
zreálnenie odhadu</t>
        </r>
      </text>
    </comment>
  </commentList>
</comments>
</file>

<file path=xl/comments2.xml><?xml version="1.0" encoding="utf-8"?>
<comments xmlns="http://schemas.openxmlformats.org/spreadsheetml/2006/main">
  <authors>
    <author>Ondrejčo Miroslav</author>
    <author>Jaroslav Gustiňák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PC, monitor, usb, nábytok, stôl, regály do reg. strediska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9" authorId="1" shapeId="0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zníženie o 300,- Arch konferencia bude v MT</t>
        </r>
      </text>
    </comment>
    <comment ref="C20" authorId="1" shapeId="0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navýšenie o 370,- EUR - občerstvenie pre účastníkov Archívnej konferencie</t>
        </r>
      </text>
    </comment>
    <comment ref="C28" authorId="1" shapeId="0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Ročná aktualizácia programu Clavius, 
ak bude treba 300 na SW fotoarchív , presunie sa z Akvizície ( obe sú NŠ)
</t>
        </r>
      </text>
    </comment>
    <comment ref="C38" authorId="1" shapeId="0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47" authorId="1" shapeId="0">
      <text>
        <r>
          <rPr>
            <b/>
            <sz val="10"/>
            <color indexed="81"/>
            <rFont val="Tahoma"/>
            <family val="2"/>
            <charset val="238"/>
          </rPr>
          <t>Jaroslav Gustiňák:</t>
        </r>
        <r>
          <rPr>
            <sz val="10"/>
            <color indexed="81"/>
            <rFont val="Tahoma"/>
            <family val="2"/>
            <charset val="238"/>
          </rPr>
          <t xml:space="preserve">
Regálový systém pre Archív MS. Umiestnený bude v 2. budove MS. NŠ.</t>
        </r>
      </text>
    </comment>
  </commentList>
</comments>
</file>

<file path=xl/sharedStrings.xml><?xml version="1.0" encoding="utf-8"?>
<sst xmlns="http://schemas.openxmlformats.org/spreadsheetml/2006/main" count="150" uniqueCount="93">
  <si>
    <t>Dozorný výbor MS</t>
  </si>
  <si>
    <t>Slovenský literárny ústav MS</t>
  </si>
  <si>
    <t>Archív MS</t>
  </si>
  <si>
    <t>Slovenský historický ústav MS</t>
  </si>
  <si>
    <t>Členské ústredie MS</t>
  </si>
  <si>
    <t>Informačné ústredie MS</t>
  </si>
  <si>
    <t>Požičovňa kostýmov a krojov</t>
  </si>
  <si>
    <t>Opravy a údržba</t>
  </si>
  <si>
    <t>Cestovné</t>
  </si>
  <si>
    <t>Náklady na reprezentáciu</t>
  </si>
  <si>
    <t>z toho: mzdy</t>
  </si>
  <si>
    <t>ostatné osobné náklady</t>
  </si>
  <si>
    <t xml:space="preserve">Zákonné sociálne poistenie </t>
  </si>
  <si>
    <t>Zákonné sociálne náklady</t>
  </si>
  <si>
    <t>Daň z nehnuteľností</t>
  </si>
  <si>
    <t>Ostatné dane a poplatky</t>
  </si>
  <si>
    <t>Iné ostatné náklady</t>
  </si>
  <si>
    <t>Daň z príjmov</t>
  </si>
  <si>
    <t>SPOLU</t>
  </si>
  <si>
    <t>Krajanské múzeum MS</t>
  </si>
  <si>
    <t xml:space="preserve">Rozpočtová rezerva </t>
  </si>
  <si>
    <t>Príspevky fyz. osobám</t>
  </si>
  <si>
    <t xml:space="preserve">Nákladová položka/                       útvary, pracoviská  </t>
  </si>
  <si>
    <t>Stredisko národ-nostných vzťahov MS</t>
  </si>
  <si>
    <t>Slovenské pohľady</t>
  </si>
  <si>
    <t>Slovenské národné noviny</t>
  </si>
  <si>
    <t>Sekretariát PaS MS, P MS, V MS a vedné ústredie</t>
  </si>
  <si>
    <t>Ostatné náklady (akvízicia)</t>
  </si>
  <si>
    <t>Projekty OMM</t>
  </si>
  <si>
    <t>Grantová agentúra MS</t>
  </si>
  <si>
    <t>Spotreba materiálu spolu</t>
  </si>
  <si>
    <t>z toho PHM</t>
  </si>
  <si>
    <t>spotrebný materiál</t>
  </si>
  <si>
    <t>knihy do príručky</t>
  </si>
  <si>
    <t>drobný hmotný majetok</t>
  </si>
  <si>
    <t>Spotreba energie spolu</t>
  </si>
  <si>
    <t>z toho elektrická energia</t>
  </si>
  <si>
    <t>voda</t>
  </si>
  <si>
    <t>para</t>
  </si>
  <si>
    <t>plyn</t>
  </si>
  <si>
    <t>Ostatné služby spolu</t>
  </si>
  <si>
    <t>výkony spojov a poštovné</t>
  </si>
  <si>
    <t>závodné stravovanie</t>
  </si>
  <si>
    <t>školenie</t>
  </si>
  <si>
    <t>služby</t>
  </si>
  <si>
    <t>realizácia výstav</t>
  </si>
  <si>
    <t>drobné programy</t>
  </si>
  <si>
    <t>518012</t>
  </si>
  <si>
    <t>518004</t>
  </si>
  <si>
    <t>521</t>
  </si>
  <si>
    <t>Mzdové náklady</t>
  </si>
  <si>
    <t>z toho bankové poplatky</t>
  </si>
  <si>
    <t>ostatné n. (ďiaľ.popl,popl. notárovi)</t>
  </si>
  <si>
    <t>poplatky za vedenie účtu CP (akcií)</t>
  </si>
  <si>
    <t>549xxx</t>
  </si>
  <si>
    <t xml:space="preserve">poistné </t>
  </si>
  <si>
    <t xml:space="preserve">Opravy a investície </t>
  </si>
  <si>
    <t>Vypracoval: Jaroslav Gustiňák</t>
  </si>
  <si>
    <t>Hlavné aktivity</t>
  </si>
  <si>
    <t>FEÚ MS a správca MS</t>
  </si>
  <si>
    <t>TIÚ MS</t>
  </si>
  <si>
    <t>Projekt účelovej dotácie MK SR</t>
  </si>
  <si>
    <t>Vydavateľské aktivity MS</t>
  </si>
  <si>
    <t>Veda a výskum MS</t>
  </si>
  <si>
    <t>Aktivity ČÚ a OS MS a SNV MS</t>
  </si>
  <si>
    <t>IÚ MS</t>
  </si>
  <si>
    <t>Hlavné aktivity MS</t>
  </si>
  <si>
    <t xml:space="preserve">Finančné vzťahy a technická prevádzka </t>
  </si>
  <si>
    <t>Dotácia Korunového účtu</t>
  </si>
  <si>
    <t xml:space="preserve">autorské honoráre </t>
  </si>
  <si>
    <t xml:space="preserve">tlačiarenské náklady </t>
  </si>
  <si>
    <t>nájomné</t>
  </si>
  <si>
    <t>Medzinárodný letný tábor MS</t>
  </si>
  <si>
    <t>Záväzky z minulých období</t>
  </si>
  <si>
    <t xml:space="preserve">Zmena </t>
  </si>
  <si>
    <t>Inštitút vzdelávania MS</t>
  </si>
  <si>
    <t>Medzinár. svet. Fest. Slov. mládeže</t>
  </si>
  <si>
    <t>Grant podpory regionálnych aktivít MO a ZO</t>
  </si>
  <si>
    <t>Vydavateľstvo MS a periodiká Slovensko, KS</t>
  </si>
  <si>
    <t>Oblastné strediská MS (OS MS)</t>
  </si>
  <si>
    <t>Všetko nešátne výdavky Matice slovenskej na rok 2017</t>
  </si>
  <si>
    <t>Výdavková časť rozpočtu Matice slovenskej na rok 2017 - návrh č.3</t>
  </si>
  <si>
    <t>Všetko neštátne výdavky Matice slovenskej na rok 2017</t>
  </si>
  <si>
    <t>Granty FPÚ</t>
  </si>
  <si>
    <t>Manažment ľudských zdrojov, činnosť Dozorného výboru a Snem Matice slovenskej</t>
  </si>
  <si>
    <t xml:space="preserve">Projekt účelovej dotácie MK SR </t>
  </si>
  <si>
    <t>Granty Úradu vlády SR a MK SR</t>
  </si>
  <si>
    <t>Podpora vedeckých aktivít</t>
  </si>
  <si>
    <t>Splátky úrokov pôžičky Neografie</t>
  </si>
  <si>
    <t>Príspevky na rekreačné poukazy</t>
  </si>
  <si>
    <t>Rozpočet 2020 - zmena č.2</t>
  </si>
  <si>
    <t>Výdavková časť rozpočtu Matice slovenskej na rok 2020  - zmena č. 2</t>
  </si>
  <si>
    <t>Rozpočet 2020 ( zmena č.1)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</si>
</sst>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  <font>
      <b/>
      <sz val="14"/>
      <name val="Times New Roman"/>
      <family val="1"/>
    </font>
    <font>
      <sz val="14"/>
      <name val="Arial"/>
      <family val="2"/>
      <charset val="238"/>
    </font>
    <font>
      <b/>
      <sz val="8.5"/>
      <name val="Calibri"/>
      <family val="2"/>
      <charset val="238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sz val="8.5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</font>
    <font>
      <sz val="9"/>
      <color rgb="FF00B05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6" fillId="6" borderId="1" xfId="0" applyNumberFormat="1" applyFont="1" applyFill="1" applyBorder="1" applyAlignment="1">
      <alignment horizontal="center"/>
    </xf>
    <xf numFmtId="49" fontId="7" fillId="6" borderId="3" xfId="0" applyNumberFormat="1" applyFont="1" applyFill="1" applyBorder="1"/>
    <xf numFmtId="0" fontId="6" fillId="0" borderId="1" xfId="0" applyNumberFormat="1" applyFont="1" applyBorder="1" applyAlignment="1">
      <alignment horizontal="center"/>
    </xf>
    <xf numFmtId="49" fontId="7" fillId="0" borderId="3" xfId="0" applyNumberFormat="1" applyFont="1" applyBorder="1"/>
    <xf numFmtId="49" fontId="7" fillId="0" borderId="1" xfId="0" applyNumberFormat="1" applyFont="1" applyBorder="1"/>
    <xf numFmtId="0" fontId="6" fillId="3" borderId="1" xfId="0" applyNumberFormat="1" applyFont="1" applyFill="1" applyBorder="1" applyAlignment="1">
      <alignment horizontal="center"/>
    </xf>
    <xf numFmtId="49" fontId="7" fillId="3" borderId="3" xfId="0" applyNumberFormat="1" applyFont="1" applyFill="1" applyBorder="1"/>
    <xf numFmtId="49" fontId="6" fillId="0" borderId="1" xfId="0" applyNumberFormat="1" applyFont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49" fontId="7" fillId="5" borderId="3" xfId="0" applyNumberFormat="1" applyFont="1" applyFill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left"/>
    </xf>
    <xf numFmtId="0" fontId="9" fillId="0" borderId="0" xfId="0" applyFont="1"/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3" fontId="16" fillId="5" borderId="1" xfId="0" applyNumberFormat="1" applyFont="1" applyFill="1" applyBorder="1" applyAlignment="1">
      <alignment horizontal="right"/>
    </xf>
    <xf numFmtId="3" fontId="17" fillId="5" borderId="1" xfId="0" applyNumberFormat="1" applyFont="1" applyFill="1" applyBorder="1" applyAlignment="1">
      <alignment horizontal="right"/>
    </xf>
    <xf numFmtId="3" fontId="17" fillId="6" borderId="4" xfId="0" applyNumberFormat="1" applyFont="1" applyFill="1" applyBorder="1" applyAlignment="1">
      <alignment horizontal="right"/>
    </xf>
    <xf numFmtId="3" fontId="17" fillId="3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 applyAlignment="1">
      <alignment horizontal="right"/>
    </xf>
    <xf numFmtId="3" fontId="17" fillId="6" borderId="1" xfId="0" applyNumberFormat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7" fillId="2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0" fontId="13" fillId="0" borderId="1" xfId="0" applyFont="1" applyBorder="1"/>
    <xf numFmtId="0" fontId="12" fillId="0" borderId="1" xfId="0" applyFont="1" applyBorder="1"/>
    <xf numFmtId="3" fontId="16" fillId="4" borderId="1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0" fontId="12" fillId="8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/>
      <protection hidden="1"/>
    </xf>
    <xf numFmtId="1" fontId="4" fillId="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0" fontId="11" fillId="12" borderId="1" xfId="0" applyFont="1" applyFill="1" applyBorder="1" applyAlignment="1" applyProtection="1">
      <alignment horizontal="center" vertical="center"/>
      <protection hidden="1"/>
    </xf>
    <xf numFmtId="0" fontId="12" fillId="13" borderId="1" xfId="0" applyFont="1" applyFill="1" applyBorder="1" applyAlignment="1" applyProtection="1">
      <alignment horizontal="center" vertical="center" wrapText="1"/>
      <protection hidden="1"/>
    </xf>
    <xf numFmtId="0" fontId="12" fillId="14" borderId="1" xfId="0" applyFont="1" applyFill="1" applyBorder="1" applyAlignment="1" applyProtection="1">
      <alignment horizontal="center" vertical="center" wrapText="1"/>
      <protection hidden="1"/>
    </xf>
    <xf numFmtId="0" fontId="5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3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2" fillId="15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7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Protection="1"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Protection="1">
      <protection hidden="1"/>
    </xf>
    <xf numFmtId="0" fontId="6" fillId="6" borderId="1" xfId="0" applyNumberFormat="1" applyFont="1" applyFill="1" applyBorder="1" applyAlignment="1" applyProtection="1">
      <alignment horizontal="center"/>
      <protection hidden="1"/>
    </xf>
    <xf numFmtId="49" fontId="7" fillId="6" borderId="3" xfId="0" applyNumberFormat="1" applyFont="1" applyFill="1" applyBorder="1" applyProtection="1">
      <protection hidden="1"/>
    </xf>
    <xf numFmtId="3" fontId="17" fillId="6" borderId="4" xfId="0" applyNumberFormat="1" applyFont="1" applyFill="1" applyBorder="1" applyAlignment="1" applyProtection="1">
      <alignment horizontal="right"/>
      <protection hidden="1"/>
    </xf>
    <xf numFmtId="3" fontId="16" fillId="5" borderId="1" xfId="0" applyNumberFormat="1" applyFont="1" applyFill="1" applyBorder="1" applyAlignment="1" applyProtection="1">
      <alignment horizontal="right"/>
      <protection hidden="1"/>
    </xf>
    <xf numFmtId="1" fontId="16" fillId="15" borderId="1" xfId="0" applyNumberFormat="1" applyFont="1" applyFill="1" applyBorder="1" applyProtection="1">
      <protection hidden="1"/>
    </xf>
    <xf numFmtId="0" fontId="6" fillId="0" borderId="1" xfId="0" applyNumberFormat="1" applyFont="1" applyBorder="1" applyAlignment="1" applyProtection="1">
      <alignment horizontal="center"/>
      <protection hidden="1"/>
    </xf>
    <xf numFmtId="49" fontId="7" fillId="0" borderId="3" xfId="0" applyNumberFormat="1" applyFont="1" applyBorder="1" applyProtection="1">
      <protection hidden="1"/>
    </xf>
    <xf numFmtId="3" fontId="17" fillId="3" borderId="4" xfId="0" applyNumberFormat="1" applyFont="1" applyFill="1" applyBorder="1" applyAlignment="1" applyProtection="1">
      <alignment horizontal="right"/>
      <protection hidden="1"/>
    </xf>
    <xf numFmtId="3" fontId="17" fillId="0" borderId="4" xfId="0" applyNumberFormat="1" applyFont="1" applyBorder="1" applyAlignment="1" applyProtection="1">
      <alignment horizontal="right"/>
      <protection hidden="1"/>
    </xf>
    <xf numFmtId="3" fontId="17" fillId="0" borderId="4" xfId="0" applyNumberFormat="1" applyFont="1" applyFill="1" applyBorder="1" applyAlignment="1" applyProtection="1">
      <alignment horizontal="right"/>
      <protection hidden="1"/>
    </xf>
    <xf numFmtId="3" fontId="17" fillId="5" borderId="1" xfId="0" applyNumberFormat="1" applyFont="1" applyFill="1" applyBorder="1" applyAlignment="1" applyProtection="1">
      <alignment horizontal="right"/>
      <protection hidden="1"/>
    </xf>
    <xf numFmtId="1" fontId="17" fillId="15" borderId="1" xfId="0" applyNumberFormat="1" applyFont="1" applyFill="1" applyBorder="1" applyProtection="1">
      <protection hidden="1"/>
    </xf>
    <xf numFmtId="49" fontId="7" fillId="3" borderId="3" xfId="0" applyNumberFormat="1" applyFont="1" applyFill="1" applyBorder="1" applyProtection="1">
      <protection hidden="1"/>
    </xf>
    <xf numFmtId="3" fontId="17" fillId="6" borderId="1" xfId="0" applyNumberFormat="1" applyFont="1" applyFill="1" applyBorder="1" applyAlignment="1" applyProtection="1">
      <alignment horizontal="right"/>
      <protection hidden="1"/>
    </xf>
    <xf numFmtId="3" fontId="17" fillId="0" borderId="1" xfId="0" applyNumberFormat="1" applyFont="1" applyBorder="1" applyAlignment="1" applyProtection="1">
      <alignment horizontal="right"/>
      <protection hidden="1"/>
    </xf>
    <xf numFmtId="3" fontId="17" fillId="2" borderId="1" xfId="0" applyNumberFormat="1" applyFont="1" applyFill="1" applyBorder="1" applyAlignment="1" applyProtection="1">
      <alignment horizontal="right"/>
      <protection hidden="1"/>
    </xf>
    <xf numFmtId="3" fontId="17" fillId="0" borderId="1" xfId="0" applyNumberFormat="1" applyFont="1" applyFill="1" applyBorder="1" applyAlignment="1" applyProtection="1">
      <alignment horizontal="right"/>
      <protection hidden="1"/>
    </xf>
    <xf numFmtId="3" fontId="17" fillId="3" borderId="1" xfId="0" applyNumberFormat="1" applyFont="1" applyFill="1" applyBorder="1" applyAlignment="1" applyProtection="1">
      <alignment horizontal="right"/>
      <protection hidden="1"/>
    </xf>
    <xf numFmtId="49" fontId="7" fillId="0" borderId="1" xfId="0" applyNumberFormat="1" applyFont="1" applyBorder="1" applyProtection="1">
      <protection hidden="1"/>
    </xf>
    <xf numFmtId="0" fontId="13" fillId="0" borderId="1" xfId="0" applyFont="1" applyBorder="1" applyProtection="1">
      <protection hidden="1"/>
    </xf>
    <xf numFmtId="0" fontId="13" fillId="3" borderId="1" xfId="0" applyFont="1" applyFill="1" applyBorder="1" applyProtection="1">
      <protection hidden="1"/>
    </xf>
    <xf numFmtId="0" fontId="6" fillId="3" borderId="1" xfId="0" applyNumberFormat="1" applyFont="1" applyFill="1" applyBorder="1" applyAlignment="1" applyProtection="1">
      <alignment horizontal="center"/>
      <protection hidden="1"/>
    </xf>
    <xf numFmtId="3" fontId="12" fillId="3" borderId="1" xfId="0" applyNumberFormat="1" applyFont="1" applyFill="1" applyBorder="1" applyAlignment="1" applyProtection="1">
      <alignment horizontal="right"/>
      <protection hidden="1"/>
    </xf>
    <xf numFmtId="3" fontId="12" fillId="0" borderId="1" xfId="0" applyNumberFormat="1" applyFont="1" applyFill="1" applyBorder="1" applyAlignment="1" applyProtection="1">
      <alignment horizontal="right"/>
      <protection hidden="1"/>
    </xf>
    <xf numFmtId="3" fontId="12" fillId="2" borderId="1" xfId="0" applyNumberFormat="1" applyFont="1" applyFill="1" applyBorder="1" applyAlignment="1" applyProtection="1">
      <alignment horizontal="right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49" fontId="6" fillId="5" borderId="1" xfId="0" applyNumberFormat="1" applyFont="1" applyFill="1" applyBorder="1" applyAlignment="1" applyProtection="1">
      <alignment horizontal="center"/>
      <protection hidden="1"/>
    </xf>
    <xf numFmtId="49" fontId="7" fillId="5" borderId="3" xfId="0" applyNumberFormat="1" applyFont="1" applyFill="1" applyBorder="1" applyProtection="1">
      <protection hidden="1"/>
    </xf>
    <xf numFmtId="3" fontId="16" fillId="7" borderId="1" xfId="0" applyNumberFormat="1" applyFont="1" applyFill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left"/>
      <protection hidden="1"/>
    </xf>
    <xf numFmtId="0" fontId="5" fillId="0" borderId="1" xfId="0" applyFont="1" applyFill="1" applyBorder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3" fontId="16" fillId="4" borderId="1" xfId="0" applyNumberFormat="1" applyFont="1" applyFill="1" applyBorder="1" applyAlignment="1" applyProtection="1">
      <alignment horizontal="right"/>
      <protection hidden="1"/>
    </xf>
    <xf numFmtId="3" fontId="17" fillId="0" borderId="1" xfId="0" applyNumberFormat="1" applyFont="1" applyFill="1" applyBorder="1" applyAlignment="1" applyProtection="1">
      <protection hidden="1"/>
    </xf>
    <xf numFmtId="3" fontId="17" fillId="0" borderId="2" xfId="0" applyNumberFormat="1" applyFont="1" applyBorder="1" applyAlignment="1" applyProtection="1">
      <alignment horizontal="right"/>
      <protection hidden="1"/>
    </xf>
    <xf numFmtId="3" fontId="17" fillId="3" borderId="2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Fill="1" applyBorder="1" applyAlignment="1" applyProtection="1">
      <alignment horizontal="left" wrapText="1"/>
      <protection hidden="1"/>
    </xf>
    <xf numFmtId="3" fontId="16" fillId="2" borderId="1" xfId="0" applyNumberFormat="1" applyFont="1" applyFill="1" applyBorder="1" applyAlignment="1" applyProtection="1">
      <alignment horizontal="right"/>
      <protection hidden="1"/>
    </xf>
    <xf numFmtId="3" fontId="17" fillId="0" borderId="1" xfId="0" applyNumberFormat="1" applyFont="1" applyBorder="1" applyAlignment="1" applyProtection="1">
      <alignment horizontal="center"/>
      <protection hidden="1"/>
    </xf>
    <xf numFmtId="0" fontId="8" fillId="5" borderId="1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left"/>
      <protection hidden="1"/>
    </xf>
    <xf numFmtId="3" fontId="16" fillId="5" borderId="1" xfId="0" applyNumberFormat="1" applyFont="1" applyFill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9" fillId="3" borderId="0" xfId="0" applyFont="1" applyFill="1" applyBorder="1" applyProtection="1">
      <protection hidden="1"/>
    </xf>
    <xf numFmtId="1" fontId="0" fillId="3" borderId="0" xfId="0" applyNumberFormat="1" applyFill="1" applyBorder="1" applyProtection="1">
      <protection hidden="1"/>
    </xf>
    <xf numFmtId="0" fontId="0" fillId="3" borderId="0" xfId="0" applyFill="1" applyBorder="1" applyProtection="1">
      <protection hidden="1"/>
    </xf>
    <xf numFmtId="1" fontId="0" fillId="0" borderId="0" xfId="0" applyNumberFormat="1" applyProtection="1">
      <protection hidden="1"/>
    </xf>
    <xf numFmtId="0" fontId="17" fillId="0" borderId="1" xfId="0" applyFont="1" applyBorder="1" applyProtection="1">
      <protection hidden="1"/>
    </xf>
    <xf numFmtId="0" fontId="12" fillId="0" borderId="1" xfId="0" applyFont="1" applyBorder="1" applyProtection="1">
      <protection hidden="1"/>
    </xf>
    <xf numFmtId="0" fontId="12" fillId="0" borderId="1" xfId="0" applyFont="1" applyFill="1" applyBorder="1" applyProtection="1">
      <protection hidden="1"/>
    </xf>
    <xf numFmtId="0" fontId="12" fillId="3" borderId="1" xfId="0" applyFont="1" applyFill="1" applyBorder="1" applyProtection="1">
      <protection hidden="1"/>
    </xf>
    <xf numFmtId="3" fontId="17" fillId="3" borderId="1" xfId="0" applyNumberFormat="1" applyFont="1" applyFill="1" applyBorder="1" applyAlignment="1" applyProtection="1">
      <protection hidden="1"/>
    </xf>
    <xf numFmtId="3" fontId="17" fillId="0" borderId="2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 applyProtection="1">
      <alignment horizontal="right"/>
      <protection hidden="1"/>
    </xf>
    <xf numFmtId="3" fontId="23" fillId="2" borderId="1" xfId="0" applyNumberFormat="1" applyFont="1" applyFill="1" applyBorder="1" applyAlignment="1" applyProtection="1">
      <alignment horizontal="right"/>
      <protection hidden="1"/>
    </xf>
    <xf numFmtId="3" fontId="23" fillId="0" borderId="1" xfId="0" applyNumberFormat="1" applyFont="1" applyBorder="1" applyAlignment="1" applyProtection="1">
      <alignment horizontal="right"/>
      <protection hidden="1"/>
    </xf>
    <xf numFmtId="3" fontId="23" fillId="3" borderId="1" xfId="0" applyNumberFormat="1" applyFont="1" applyFill="1" applyBorder="1" applyAlignment="1" applyProtection="1">
      <alignment horizontal="right"/>
      <protection hidden="1"/>
    </xf>
    <xf numFmtId="3" fontId="23" fillId="0" borderId="1" xfId="0" applyNumberFormat="1" applyFont="1" applyFill="1" applyBorder="1" applyAlignment="1" applyProtection="1">
      <protection hidden="1"/>
    </xf>
    <xf numFmtId="3" fontId="24" fillId="0" borderId="1" xfId="0" applyNumberFormat="1" applyFont="1" applyFill="1" applyBorder="1" applyAlignment="1" applyProtection="1">
      <alignment horizontal="right"/>
      <protection hidden="1"/>
    </xf>
    <xf numFmtId="3" fontId="24" fillId="0" borderId="1" xfId="0" applyNumberFormat="1" applyFont="1" applyBorder="1" applyAlignment="1" applyProtection="1">
      <alignment horizontal="right"/>
      <protection hidden="1"/>
    </xf>
    <xf numFmtId="3" fontId="24" fillId="3" borderId="1" xfId="0" applyNumberFormat="1" applyFont="1" applyFill="1" applyBorder="1" applyAlignment="1" applyProtection="1">
      <alignment horizontal="right"/>
      <protection hidden="1"/>
    </xf>
    <xf numFmtId="3" fontId="24" fillId="2" borderId="1" xfId="0" applyNumberFormat="1" applyFont="1" applyFill="1" applyBorder="1" applyAlignment="1" applyProtection="1">
      <alignment horizontal="right"/>
      <protection hidden="1"/>
    </xf>
    <xf numFmtId="3" fontId="24" fillId="0" borderId="1" xfId="0" applyNumberFormat="1" applyFont="1" applyBorder="1" applyAlignment="1" applyProtection="1">
      <protection hidden="1"/>
    </xf>
    <xf numFmtId="3" fontId="23" fillId="3" borderId="4" xfId="0" applyNumberFormat="1" applyFont="1" applyFill="1" applyBorder="1" applyAlignment="1" applyProtection="1">
      <alignment horizontal="right"/>
      <protection hidden="1"/>
    </xf>
    <xf numFmtId="3" fontId="23" fillId="0" borderId="4" xfId="0" applyNumberFormat="1" applyFont="1" applyFill="1" applyBorder="1" applyAlignment="1" applyProtection="1">
      <alignment horizontal="right"/>
      <protection hidden="1"/>
    </xf>
    <xf numFmtId="3" fontId="25" fillId="3" borderId="4" xfId="0" applyNumberFormat="1" applyFont="1" applyFill="1" applyBorder="1" applyAlignment="1" applyProtection="1">
      <alignment horizontal="right"/>
      <protection hidden="1"/>
    </xf>
    <xf numFmtId="3" fontId="26" fillId="0" borderId="1" xfId="0" applyNumberFormat="1" applyFont="1" applyFill="1" applyBorder="1" applyAlignment="1" applyProtection="1">
      <alignment horizontal="right"/>
      <protection hidden="1"/>
    </xf>
    <xf numFmtId="49" fontId="5" fillId="0" borderId="2" xfId="0" applyNumberFormat="1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5" fillId="0" borderId="4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2" fillId="8" borderId="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12" fillId="9" borderId="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10" borderId="3" xfId="0" applyFont="1" applyFill="1" applyBorder="1" applyAlignment="1" applyProtection="1">
      <alignment horizontal="center" vertical="center"/>
      <protection hidden="1"/>
    </xf>
    <xf numFmtId="0" fontId="12" fillId="11" borderId="3" xfId="0" applyFont="1" applyFill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58"/>
  <sheetViews>
    <sheetView tabSelected="1" topLeftCell="A20" zoomScaleNormal="100" workbookViewId="0">
      <selection activeCell="Q38" sqref="Q38"/>
    </sheetView>
  </sheetViews>
  <sheetFormatPr defaultRowHeight="12.75" x14ac:dyDescent="0.2"/>
  <cols>
    <col min="1" max="1" width="1.42578125" style="50" customWidth="1"/>
    <col min="2" max="2" width="8.140625" style="50" customWidth="1"/>
    <col min="3" max="3" width="22.7109375" style="50" customWidth="1"/>
    <col min="4" max="4" width="8.42578125" style="50" customWidth="1"/>
    <col min="5" max="5" width="7.28515625" style="50" customWidth="1"/>
    <col min="6" max="7" width="7.7109375" style="50" customWidth="1"/>
    <col min="8" max="8" width="8" style="50" customWidth="1"/>
    <col min="9" max="9" width="10" style="50" customWidth="1"/>
    <col min="10" max="10" width="8.28515625" style="50" customWidth="1"/>
    <col min="11" max="12" width="7.7109375" style="50" customWidth="1"/>
    <col min="13" max="13" width="8.140625" style="50" customWidth="1"/>
    <col min="14" max="14" width="8.5703125" style="50" customWidth="1"/>
    <col min="15" max="15" width="7.140625" style="50" customWidth="1"/>
    <col min="16" max="16" width="8.7109375" style="50" customWidth="1"/>
    <col min="17" max="17" width="8.85546875" style="50" customWidth="1"/>
    <col min="18" max="18" width="6.7109375" style="50" customWidth="1"/>
    <col min="19" max="20" width="8.28515625" style="50" customWidth="1"/>
    <col min="21" max="21" width="8.85546875" style="50" customWidth="1"/>
    <col min="22" max="22" width="9.140625" style="50" customWidth="1"/>
    <col min="23" max="23" width="9" style="50" customWidth="1"/>
    <col min="24" max="24" width="8.5703125" style="122" customWidth="1"/>
    <col min="25" max="25" width="7.42578125" style="122" customWidth="1"/>
    <col min="26" max="26" width="2.7109375" style="50" hidden="1" customWidth="1"/>
    <col min="27" max="27" width="9.140625" style="50" hidden="1" customWidth="1"/>
    <col min="28" max="16384" width="9.140625" style="50"/>
  </cols>
  <sheetData>
    <row r="1" spans="2:27" ht="21" x14ac:dyDescent="0.25">
      <c r="B1" s="151" t="s">
        <v>91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30"/>
      <c r="W1" s="48"/>
      <c r="X1" s="49"/>
      <c r="Y1" s="49"/>
    </row>
    <row r="2" spans="2:27" ht="60.75" customHeight="1" x14ac:dyDescent="0.2">
      <c r="B2" s="152" t="s">
        <v>85</v>
      </c>
      <c r="C2" s="153"/>
      <c r="D2" s="154" t="s">
        <v>84</v>
      </c>
      <c r="E2" s="155"/>
      <c r="F2" s="156" t="s">
        <v>62</v>
      </c>
      <c r="G2" s="157"/>
      <c r="H2" s="158"/>
      <c r="I2" s="159" t="s">
        <v>63</v>
      </c>
      <c r="J2" s="157"/>
      <c r="K2" s="158"/>
      <c r="L2" s="51" t="s">
        <v>2</v>
      </c>
      <c r="M2" s="160" t="s">
        <v>64</v>
      </c>
      <c r="N2" s="157"/>
      <c r="O2" s="157"/>
      <c r="P2" s="52" t="s">
        <v>65</v>
      </c>
      <c r="Q2" s="161" t="s">
        <v>67</v>
      </c>
      <c r="R2" s="158"/>
      <c r="S2" s="53" t="s">
        <v>6</v>
      </c>
      <c r="T2" s="54" t="s">
        <v>66</v>
      </c>
      <c r="U2" s="54" t="s">
        <v>87</v>
      </c>
      <c r="V2" s="131"/>
      <c r="W2" s="132"/>
      <c r="X2" s="133"/>
      <c r="Y2" s="50"/>
      <c r="AA2" s="50">
        <v>1.0049999999999999</v>
      </c>
    </row>
    <row r="3" spans="2:27" ht="56.25" x14ac:dyDescent="0.2">
      <c r="B3" s="55" t="s">
        <v>22</v>
      </c>
      <c r="C3" s="56"/>
      <c r="D3" s="57" t="s">
        <v>26</v>
      </c>
      <c r="E3" s="57" t="s">
        <v>0</v>
      </c>
      <c r="F3" s="57" t="s">
        <v>25</v>
      </c>
      <c r="G3" s="57" t="s">
        <v>24</v>
      </c>
      <c r="H3" s="57" t="s">
        <v>78</v>
      </c>
      <c r="I3" s="57" t="s">
        <v>1</v>
      </c>
      <c r="J3" s="57" t="s">
        <v>3</v>
      </c>
      <c r="K3" s="57" t="s">
        <v>19</v>
      </c>
      <c r="L3" s="57" t="s">
        <v>2</v>
      </c>
      <c r="M3" s="57" t="s">
        <v>23</v>
      </c>
      <c r="N3" s="57" t="s">
        <v>4</v>
      </c>
      <c r="O3" s="57" t="s">
        <v>79</v>
      </c>
      <c r="P3" s="57" t="s">
        <v>5</v>
      </c>
      <c r="Q3" s="57" t="s">
        <v>59</v>
      </c>
      <c r="R3" s="57" t="s">
        <v>60</v>
      </c>
      <c r="S3" s="57" t="s">
        <v>6</v>
      </c>
      <c r="T3" s="58" t="s">
        <v>58</v>
      </c>
      <c r="U3" s="58" t="s">
        <v>87</v>
      </c>
      <c r="V3" s="59" t="s">
        <v>90</v>
      </c>
      <c r="W3" s="59" t="s">
        <v>92</v>
      </c>
      <c r="X3" s="60" t="s">
        <v>74</v>
      </c>
      <c r="Y3" s="50"/>
    </row>
    <row r="4" spans="2:27" ht="12.75" hidden="1" customHeight="1" x14ac:dyDescent="0.2">
      <c r="B4" s="61"/>
      <c r="C4" s="62"/>
      <c r="D4" s="63"/>
      <c r="E4" s="63"/>
      <c r="F4" s="63"/>
      <c r="G4" s="63"/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59"/>
      <c r="W4" s="59"/>
      <c r="X4" s="60"/>
      <c r="Y4" s="50"/>
    </row>
    <row r="5" spans="2:27" ht="12.75" hidden="1" customHeight="1" x14ac:dyDescent="0.2">
      <c r="B5" s="61"/>
      <c r="C5" s="62"/>
      <c r="D5" s="63"/>
      <c r="E5" s="63"/>
      <c r="F5" s="63"/>
      <c r="G5" s="63"/>
      <c r="H5" s="64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59"/>
      <c r="W5" s="59"/>
      <c r="X5" s="60"/>
      <c r="Y5" s="50"/>
    </row>
    <row r="6" spans="2:27" ht="12.75" hidden="1" customHeight="1" x14ac:dyDescent="0.2">
      <c r="B6" s="61"/>
      <c r="C6" s="62"/>
      <c r="D6" s="63"/>
      <c r="E6" s="63"/>
      <c r="F6" s="63"/>
      <c r="G6" s="63"/>
      <c r="H6" s="64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59"/>
      <c r="W6" s="59"/>
      <c r="X6" s="60"/>
      <c r="Y6" s="50"/>
    </row>
    <row r="7" spans="2:27" ht="12.75" hidden="1" customHeight="1" x14ac:dyDescent="0.2">
      <c r="B7" s="65"/>
      <c r="C7" s="66"/>
      <c r="D7" s="67"/>
      <c r="E7" s="67"/>
      <c r="F7" s="67"/>
      <c r="G7" s="67"/>
      <c r="H7" s="68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3"/>
      <c r="U7" s="63"/>
      <c r="V7" s="59"/>
      <c r="W7" s="59"/>
      <c r="X7" s="60"/>
      <c r="Y7" s="50"/>
    </row>
    <row r="8" spans="2:27" x14ac:dyDescent="0.2">
      <c r="B8" s="69">
        <v>501</v>
      </c>
      <c r="C8" s="70" t="s">
        <v>30</v>
      </c>
      <c r="D8" s="71">
        <f t="shared" ref="D8:P8" si="0">SUM(D9:D12)</f>
        <v>1750</v>
      </c>
      <c r="E8" s="71">
        <f>SUM(E9:E12)</f>
        <v>150</v>
      </c>
      <c r="F8" s="71">
        <f>SUM(F9:F12)</f>
        <v>200</v>
      </c>
      <c r="G8" s="71">
        <f>SUM(G9:G12)</f>
        <v>250</v>
      </c>
      <c r="H8" s="71">
        <f>SUM(H9:H12)</f>
        <v>500</v>
      </c>
      <c r="I8" s="71">
        <f t="shared" si="0"/>
        <v>200</v>
      </c>
      <c r="J8" s="71">
        <f t="shared" si="0"/>
        <v>250</v>
      </c>
      <c r="K8" s="71">
        <f>SUM(K9:K12)</f>
        <v>200</v>
      </c>
      <c r="L8" s="71">
        <f t="shared" si="0"/>
        <v>2500</v>
      </c>
      <c r="M8" s="71">
        <f>SUM(M9:M12)</f>
        <v>300</v>
      </c>
      <c r="N8" s="71">
        <f>SUM(N9:N12)</f>
        <v>550</v>
      </c>
      <c r="O8" s="71">
        <f t="shared" si="0"/>
        <v>5560</v>
      </c>
      <c r="P8" s="71">
        <f t="shared" si="0"/>
        <v>1100</v>
      </c>
      <c r="Q8" s="71">
        <f>SUM(Q9:Q12)</f>
        <v>1350</v>
      </c>
      <c r="R8" s="71">
        <f>SUM(R9:R12)</f>
        <v>11200</v>
      </c>
      <c r="S8" s="71">
        <f>SUM(S9:S12)</f>
        <v>1800</v>
      </c>
      <c r="T8" s="71"/>
      <c r="U8" s="71"/>
      <c r="V8" s="72">
        <f t="shared" ref="V8:V55" si="1">SUM(D8:U8)</f>
        <v>27860</v>
      </c>
      <c r="W8" s="72">
        <v>29060</v>
      </c>
      <c r="X8" s="73">
        <f t="shared" ref="X8:X56" si="2">V8-W8</f>
        <v>-1200</v>
      </c>
      <c r="Y8" s="50"/>
    </row>
    <row r="9" spans="2:27" x14ac:dyDescent="0.2">
      <c r="B9" s="74">
        <v>501001</v>
      </c>
      <c r="C9" s="75" t="s">
        <v>31</v>
      </c>
      <c r="D9" s="76">
        <v>0</v>
      </c>
      <c r="E9" s="77"/>
      <c r="F9" s="76"/>
      <c r="G9" s="76"/>
      <c r="H9" s="76"/>
      <c r="I9" s="77"/>
      <c r="J9" s="76"/>
      <c r="K9" s="77"/>
      <c r="L9" s="76"/>
      <c r="M9" s="76"/>
      <c r="N9" s="76"/>
      <c r="O9" s="78">
        <v>0</v>
      </c>
      <c r="P9" s="76"/>
      <c r="Q9" s="76"/>
      <c r="R9" s="78">
        <v>5000</v>
      </c>
      <c r="S9" s="78"/>
      <c r="T9" s="76"/>
      <c r="U9" s="76"/>
      <c r="V9" s="72">
        <f t="shared" si="1"/>
        <v>5000</v>
      </c>
      <c r="W9" s="72">
        <v>5000</v>
      </c>
      <c r="X9" s="80">
        <f t="shared" si="2"/>
        <v>0</v>
      </c>
      <c r="Y9" s="50"/>
    </row>
    <row r="10" spans="2:27" x14ac:dyDescent="0.2">
      <c r="B10" s="74">
        <v>501002</v>
      </c>
      <c r="C10" s="75" t="s">
        <v>32</v>
      </c>
      <c r="D10" s="76">
        <v>1100</v>
      </c>
      <c r="E10" s="77">
        <v>150</v>
      </c>
      <c r="F10" s="76">
        <v>200</v>
      </c>
      <c r="G10" s="76">
        <v>200</v>
      </c>
      <c r="H10" s="144">
        <v>400</v>
      </c>
      <c r="I10" s="77">
        <v>100</v>
      </c>
      <c r="J10" s="76">
        <v>150</v>
      </c>
      <c r="K10" s="76">
        <f>200-100</f>
        <v>100</v>
      </c>
      <c r="L10" s="76">
        <v>400</v>
      </c>
      <c r="M10" s="76">
        <v>300</v>
      </c>
      <c r="N10" s="76">
        <v>550</v>
      </c>
      <c r="O10" s="78">
        <v>4540</v>
      </c>
      <c r="P10" s="146">
        <v>650</v>
      </c>
      <c r="Q10" s="76">
        <v>600</v>
      </c>
      <c r="R10" s="78">
        <v>5200</v>
      </c>
      <c r="S10" s="78">
        <v>800</v>
      </c>
      <c r="T10" s="76"/>
      <c r="U10" s="76"/>
      <c r="V10" s="72">
        <f t="shared" si="1"/>
        <v>15440</v>
      </c>
      <c r="W10" s="72">
        <v>17290</v>
      </c>
      <c r="X10" s="80">
        <f t="shared" si="2"/>
        <v>-1850</v>
      </c>
      <c r="Y10" s="50"/>
    </row>
    <row r="11" spans="2:27" x14ac:dyDescent="0.2">
      <c r="B11" s="74">
        <v>501004</v>
      </c>
      <c r="C11" s="81" t="s">
        <v>33</v>
      </c>
      <c r="D11" s="76">
        <v>150</v>
      </c>
      <c r="E11" s="77"/>
      <c r="F11" s="76"/>
      <c r="G11" s="76">
        <v>50</v>
      </c>
      <c r="H11" s="76">
        <v>100</v>
      </c>
      <c r="I11" s="77">
        <v>100</v>
      </c>
      <c r="J11" s="76">
        <f>200-100</f>
        <v>100</v>
      </c>
      <c r="K11" s="78">
        <v>100</v>
      </c>
      <c r="L11" s="76">
        <v>200</v>
      </c>
      <c r="M11" s="76"/>
      <c r="N11" s="76"/>
      <c r="O11" s="78">
        <v>0</v>
      </c>
      <c r="P11" s="76">
        <v>200</v>
      </c>
      <c r="Q11" s="76">
        <v>250</v>
      </c>
      <c r="R11" s="78">
        <v>200</v>
      </c>
      <c r="S11" s="76"/>
      <c r="T11" s="76"/>
      <c r="U11" s="76"/>
      <c r="V11" s="72">
        <f t="shared" si="1"/>
        <v>1450</v>
      </c>
      <c r="W11" s="72">
        <v>1450</v>
      </c>
      <c r="X11" s="80">
        <f t="shared" si="2"/>
        <v>0</v>
      </c>
      <c r="Y11" s="50"/>
    </row>
    <row r="12" spans="2:27" x14ac:dyDescent="0.2">
      <c r="B12" s="74">
        <v>501006</v>
      </c>
      <c r="C12" s="75" t="s">
        <v>34</v>
      </c>
      <c r="D12" s="76">
        <v>500</v>
      </c>
      <c r="E12" s="77"/>
      <c r="F12" s="76"/>
      <c r="G12" s="76"/>
      <c r="H12" s="76"/>
      <c r="I12" s="76"/>
      <c r="J12" s="76"/>
      <c r="K12" s="77"/>
      <c r="L12" s="145">
        <v>1900</v>
      </c>
      <c r="M12" s="76"/>
      <c r="N12" s="144">
        <v>0</v>
      </c>
      <c r="O12" s="78">
        <v>1020</v>
      </c>
      <c r="P12" s="144">
        <v>250</v>
      </c>
      <c r="Q12" s="76">
        <v>500</v>
      </c>
      <c r="R12" s="78">
        <v>800</v>
      </c>
      <c r="S12" s="76">
        <v>1000</v>
      </c>
      <c r="T12" s="76"/>
      <c r="U12" s="76"/>
      <c r="V12" s="72">
        <f t="shared" si="1"/>
        <v>5970</v>
      </c>
      <c r="W12" s="72">
        <v>5320</v>
      </c>
      <c r="X12" s="80">
        <f t="shared" si="2"/>
        <v>650</v>
      </c>
      <c r="Y12" s="50"/>
    </row>
    <row r="13" spans="2:27" x14ac:dyDescent="0.2">
      <c r="B13" s="69">
        <v>502</v>
      </c>
      <c r="C13" s="70" t="s">
        <v>35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>
        <f>O14+O15+O16+O17+P16</f>
        <v>47307</v>
      </c>
      <c r="P13" s="82"/>
      <c r="Q13" s="82"/>
      <c r="R13" s="82">
        <f>SUM(R14:R17)</f>
        <v>52100</v>
      </c>
      <c r="S13" s="82"/>
      <c r="T13" s="82"/>
      <c r="U13" s="82"/>
      <c r="V13" s="72">
        <f t="shared" si="1"/>
        <v>99407</v>
      </c>
      <c r="W13" s="72">
        <v>109607</v>
      </c>
      <c r="X13" s="73">
        <f t="shared" si="2"/>
        <v>-10200</v>
      </c>
      <c r="Y13" s="50"/>
    </row>
    <row r="14" spans="2:27" x14ac:dyDescent="0.2">
      <c r="B14" s="74">
        <v>502000</v>
      </c>
      <c r="C14" s="75" t="s">
        <v>36</v>
      </c>
      <c r="D14" s="83"/>
      <c r="E14" s="83"/>
      <c r="F14" s="84"/>
      <c r="G14" s="84"/>
      <c r="H14" s="84"/>
      <c r="I14" s="83"/>
      <c r="J14" s="85"/>
      <c r="K14" s="83"/>
      <c r="L14" s="84"/>
      <c r="M14" s="86"/>
      <c r="N14" s="83"/>
      <c r="O14" s="136">
        <v>11278</v>
      </c>
      <c r="P14" s="84"/>
      <c r="Q14" s="84"/>
      <c r="R14" s="137">
        <v>11000</v>
      </c>
      <c r="S14" s="83"/>
      <c r="T14" s="83"/>
      <c r="U14" s="83"/>
      <c r="V14" s="72">
        <f t="shared" si="1"/>
        <v>22278</v>
      </c>
      <c r="W14" s="72">
        <v>24078</v>
      </c>
      <c r="X14" s="80">
        <f t="shared" si="2"/>
        <v>-1800</v>
      </c>
      <c r="Y14" s="50"/>
    </row>
    <row r="15" spans="2:27" x14ac:dyDescent="0.2">
      <c r="B15" s="74">
        <v>502001</v>
      </c>
      <c r="C15" s="75" t="s">
        <v>37</v>
      </c>
      <c r="D15" s="83"/>
      <c r="E15" s="83"/>
      <c r="F15" s="84"/>
      <c r="G15" s="84"/>
      <c r="H15" s="84"/>
      <c r="I15" s="83"/>
      <c r="J15" s="85"/>
      <c r="K15" s="83"/>
      <c r="L15" s="84"/>
      <c r="M15" s="86"/>
      <c r="N15" s="83"/>
      <c r="O15" s="85">
        <v>2290</v>
      </c>
      <c r="P15" s="84"/>
      <c r="Q15" s="84"/>
      <c r="R15" s="137">
        <v>2000</v>
      </c>
      <c r="S15" s="83"/>
      <c r="T15" s="83"/>
      <c r="U15" s="83"/>
      <c r="V15" s="72">
        <f t="shared" si="1"/>
        <v>4290</v>
      </c>
      <c r="W15" s="72">
        <v>4490</v>
      </c>
      <c r="X15" s="80">
        <f t="shared" si="2"/>
        <v>-200</v>
      </c>
      <c r="Y15" s="50"/>
    </row>
    <row r="16" spans="2:27" x14ac:dyDescent="0.2">
      <c r="B16" s="74">
        <v>502002</v>
      </c>
      <c r="C16" s="87" t="s">
        <v>38</v>
      </c>
      <c r="D16" s="83"/>
      <c r="E16" s="83"/>
      <c r="F16" s="84"/>
      <c r="G16" s="84"/>
      <c r="H16" s="84"/>
      <c r="I16" s="83"/>
      <c r="J16" s="85"/>
      <c r="K16" s="83"/>
      <c r="L16" s="84"/>
      <c r="M16" s="86"/>
      <c r="N16" s="83"/>
      <c r="O16" s="85">
        <v>12949</v>
      </c>
      <c r="P16" s="84"/>
      <c r="Q16" s="84"/>
      <c r="R16" s="137">
        <v>36700</v>
      </c>
      <c r="S16" s="83"/>
      <c r="T16" s="83"/>
      <c r="U16" s="83"/>
      <c r="V16" s="72">
        <f t="shared" si="1"/>
        <v>49649</v>
      </c>
      <c r="W16" s="72">
        <v>51949</v>
      </c>
      <c r="X16" s="80">
        <f t="shared" si="2"/>
        <v>-2300</v>
      </c>
      <c r="Y16" s="50"/>
    </row>
    <row r="17" spans="2:25" x14ac:dyDescent="0.2">
      <c r="B17" s="74">
        <v>502003</v>
      </c>
      <c r="C17" s="87" t="s">
        <v>39</v>
      </c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88"/>
      <c r="O17" s="134">
        <v>20790</v>
      </c>
      <c r="P17" s="88"/>
      <c r="Q17" s="88"/>
      <c r="R17" s="86">
        <v>2400</v>
      </c>
      <c r="S17" s="88"/>
      <c r="T17" s="88"/>
      <c r="U17" s="88"/>
      <c r="V17" s="72">
        <f t="shared" si="1"/>
        <v>23190</v>
      </c>
      <c r="W17" s="72">
        <v>29090</v>
      </c>
      <c r="X17" s="80">
        <f t="shared" si="2"/>
        <v>-5900</v>
      </c>
      <c r="Y17" s="50"/>
    </row>
    <row r="18" spans="2:25" x14ac:dyDescent="0.2">
      <c r="B18" s="74">
        <v>511</v>
      </c>
      <c r="C18" s="87" t="s">
        <v>7</v>
      </c>
      <c r="D18" s="83">
        <v>50</v>
      </c>
      <c r="E18" s="83">
        <v>50</v>
      </c>
      <c r="F18" s="84">
        <v>50</v>
      </c>
      <c r="G18" s="84">
        <v>50</v>
      </c>
      <c r="H18" s="86">
        <v>50</v>
      </c>
      <c r="I18" s="83">
        <v>50</v>
      </c>
      <c r="J18" s="85">
        <v>50</v>
      </c>
      <c r="K18" s="83">
        <v>50</v>
      </c>
      <c r="L18" s="147">
        <v>60</v>
      </c>
      <c r="M18" s="86">
        <v>50</v>
      </c>
      <c r="N18" s="83">
        <v>50</v>
      </c>
      <c r="O18" s="85">
        <v>450</v>
      </c>
      <c r="P18" s="84">
        <v>50</v>
      </c>
      <c r="Q18" s="84">
        <v>50</v>
      </c>
      <c r="R18" s="86"/>
      <c r="S18" s="83">
        <v>50</v>
      </c>
      <c r="T18" s="83"/>
      <c r="U18" s="83"/>
      <c r="V18" s="72">
        <f t="shared" si="1"/>
        <v>1160</v>
      </c>
      <c r="W18" s="72">
        <v>1150</v>
      </c>
      <c r="X18" s="73">
        <f t="shared" si="2"/>
        <v>10</v>
      </c>
      <c r="Y18" s="50"/>
    </row>
    <row r="19" spans="2:25" x14ac:dyDescent="0.2">
      <c r="B19" s="74">
        <v>512</v>
      </c>
      <c r="C19" s="87" t="s">
        <v>8</v>
      </c>
      <c r="D19" s="137">
        <v>1000</v>
      </c>
      <c r="E19" s="83">
        <v>150</v>
      </c>
      <c r="F19" s="84">
        <v>50</v>
      </c>
      <c r="G19" s="84">
        <v>100</v>
      </c>
      <c r="H19" s="84">
        <v>100</v>
      </c>
      <c r="I19" s="83">
        <v>100</v>
      </c>
      <c r="J19" s="134">
        <v>300</v>
      </c>
      <c r="K19" s="134">
        <v>250</v>
      </c>
      <c r="L19" s="84">
        <v>150</v>
      </c>
      <c r="M19" s="137">
        <v>300</v>
      </c>
      <c r="N19" s="136">
        <v>1500</v>
      </c>
      <c r="O19" s="85">
        <v>3540</v>
      </c>
      <c r="P19" s="84">
        <v>500</v>
      </c>
      <c r="Q19" s="84">
        <v>350</v>
      </c>
      <c r="R19" s="86">
        <v>400</v>
      </c>
      <c r="S19" s="83">
        <v>100</v>
      </c>
      <c r="T19" s="83"/>
      <c r="U19" s="83"/>
      <c r="V19" s="72">
        <f t="shared" si="1"/>
        <v>8890</v>
      </c>
      <c r="W19" s="72">
        <v>10340</v>
      </c>
      <c r="X19" s="73">
        <f t="shared" si="2"/>
        <v>-1450</v>
      </c>
      <c r="Y19" s="50"/>
    </row>
    <row r="20" spans="2:25" x14ac:dyDescent="0.2">
      <c r="B20" s="74">
        <v>513</v>
      </c>
      <c r="C20" s="75" t="s">
        <v>9</v>
      </c>
      <c r="D20" s="136">
        <v>1100</v>
      </c>
      <c r="E20" s="83">
        <v>300</v>
      </c>
      <c r="F20" s="84"/>
      <c r="G20" s="84"/>
      <c r="H20" s="85">
        <v>250</v>
      </c>
      <c r="I20" s="83"/>
      <c r="J20" s="85"/>
      <c r="K20" s="85">
        <v>50</v>
      </c>
      <c r="L20" s="84">
        <v>30</v>
      </c>
      <c r="M20" s="86">
        <v>60</v>
      </c>
      <c r="N20" s="83">
        <v>150</v>
      </c>
      <c r="O20" s="85">
        <v>50</v>
      </c>
      <c r="P20" s="85">
        <v>500</v>
      </c>
      <c r="Q20" s="84"/>
      <c r="R20" s="86"/>
      <c r="S20" s="83"/>
      <c r="T20" s="83"/>
      <c r="U20" s="83"/>
      <c r="V20" s="72">
        <f t="shared" si="1"/>
        <v>2490</v>
      </c>
      <c r="W20" s="72">
        <v>2490</v>
      </c>
      <c r="X20" s="73">
        <f t="shared" si="2"/>
        <v>0</v>
      </c>
      <c r="Y20" s="50"/>
    </row>
    <row r="21" spans="2:25" x14ac:dyDescent="0.2">
      <c r="B21" s="69">
        <v>518</v>
      </c>
      <c r="C21" s="70" t="s">
        <v>40</v>
      </c>
      <c r="D21" s="82">
        <f t="shared" ref="D21:R21" si="3">SUM(D22:D30)</f>
        <v>6700</v>
      </c>
      <c r="E21" s="82">
        <f>SUM(E22:E30)</f>
        <v>100</v>
      </c>
      <c r="F21" s="82">
        <f>SUM(F22:F30)</f>
        <v>151200</v>
      </c>
      <c r="G21" s="82">
        <f>SUM(G22:G30)</f>
        <v>27730</v>
      </c>
      <c r="H21" s="82">
        <f>SUM(H22:H30)</f>
        <v>52600</v>
      </c>
      <c r="I21" s="82">
        <f t="shared" si="3"/>
        <v>1530</v>
      </c>
      <c r="J21" s="82">
        <f t="shared" si="3"/>
        <v>4000</v>
      </c>
      <c r="K21" s="82">
        <f>SUM(K22:K30)</f>
        <v>1450</v>
      </c>
      <c r="L21" s="82">
        <f t="shared" si="3"/>
        <v>250</v>
      </c>
      <c r="M21" s="82">
        <f>SUM(M22:M30)</f>
        <v>1180</v>
      </c>
      <c r="N21" s="82">
        <f t="shared" si="3"/>
        <v>350</v>
      </c>
      <c r="O21" s="82">
        <f t="shared" si="3"/>
        <v>21786</v>
      </c>
      <c r="P21" s="82">
        <f t="shared" si="3"/>
        <v>10000</v>
      </c>
      <c r="Q21" s="82">
        <f t="shared" si="3"/>
        <v>2300</v>
      </c>
      <c r="R21" s="82">
        <f t="shared" si="3"/>
        <v>96808</v>
      </c>
      <c r="S21" s="82">
        <f>SUM(S22:S30)</f>
        <v>500</v>
      </c>
      <c r="T21" s="82">
        <f>SUM(T22:T30)</f>
        <v>15000</v>
      </c>
      <c r="U21" s="82">
        <f>SUM(U22:U30)</f>
        <v>10000</v>
      </c>
      <c r="V21" s="72">
        <f t="shared" si="1"/>
        <v>403484</v>
      </c>
      <c r="W21" s="72">
        <v>430344</v>
      </c>
      <c r="X21" s="73">
        <f t="shared" si="2"/>
        <v>-26860</v>
      </c>
      <c r="Y21" s="50"/>
    </row>
    <row r="22" spans="2:25" x14ac:dyDescent="0.2">
      <c r="B22" s="90">
        <v>518001</v>
      </c>
      <c r="C22" s="81" t="s">
        <v>71</v>
      </c>
      <c r="D22" s="83"/>
      <c r="E22" s="83"/>
      <c r="F22" s="84"/>
      <c r="G22" s="84"/>
      <c r="H22" s="85"/>
      <c r="I22" s="83"/>
      <c r="J22" s="85"/>
      <c r="K22" s="83"/>
      <c r="L22" s="84"/>
      <c r="M22" s="86"/>
      <c r="N22" s="86"/>
      <c r="O22" s="85">
        <v>8506</v>
      </c>
      <c r="P22" s="85"/>
      <c r="Q22" s="85"/>
      <c r="R22" s="85">
        <v>19308</v>
      </c>
      <c r="S22" s="83"/>
      <c r="T22" s="83"/>
      <c r="U22" s="83"/>
      <c r="V22" s="72">
        <f t="shared" si="1"/>
        <v>27814</v>
      </c>
      <c r="W22" s="72">
        <v>27814</v>
      </c>
      <c r="X22" s="80">
        <f t="shared" si="2"/>
        <v>0</v>
      </c>
      <c r="Y22" s="50"/>
    </row>
    <row r="23" spans="2:25" x14ac:dyDescent="0.2">
      <c r="B23" s="90">
        <v>518002</v>
      </c>
      <c r="C23" s="81" t="s">
        <v>41</v>
      </c>
      <c r="D23" s="86">
        <v>500</v>
      </c>
      <c r="E23" s="83"/>
      <c r="F23" s="135">
        <v>37500</v>
      </c>
      <c r="G23" s="84">
        <v>30</v>
      </c>
      <c r="H23" s="85"/>
      <c r="I23" s="83">
        <v>30</v>
      </c>
      <c r="J23" s="85"/>
      <c r="K23" s="84">
        <v>300</v>
      </c>
      <c r="L23" s="84"/>
      <c r="M23" s="86">
        <v>30</v>
      </c>
      <c r="N23" s="86"/>
      <c r="O23" s="85">
        <v>3680</v>
      </c>
      <c r="P23" s="85"/>
      <c r="Q23" s="85"/>
      <c r="R23" s="85">
        <v>20000</v>
      </c>
      <c r="S23" s="83"/>
      <c r="T23" s="83"/>
      <c r="U23" s="83"/>
      <c r="V23" s="72">
        <f t="shared" si="1"/>
        <v>62070</v>
      </c>
      <c r="W23" s="72">
        <v>58570</v>
      </c>
      <c r="X23" s="80">
        <f t="shared" si="2"/>
        <v>3500</v>
      </c>
      <c r="Y23" s="50"/>
    </row>
    <row r="24" spans="2:25" x14ac:dyDescent="0.2">
      <c r="B24" s="90">
        <v>518003</v>
      </c>
      <c r="C24" s="81" t="s">
        <v>42</v>
      </c>
      <c r="D24" s="86"/>
      <c r="E24" s="83"/>
      <c r="F24" s="84"/>
      <c r="G24" s="84"/>
      <c r="H24" s="85"/>
      <c r="I24" s="83"/>
      <c r="J24" s="85"/>
      <c r="K24" s="84"/>
      <c r="L24" s="84"/>
      <c r="M24" s="86"/>
      <c r="N24" s="86"/>
      <c r="O24" s="85"/>
      <c r="P24" s="85"/>
      <c r="Q24" s="85"/>
      <c r="R24" s="85">
        <v>37000</v>
      </c>
      <c r="S24" s="83"/>
      <c r="T24" s="83"/>
      <c r="U24" s="83"/>
      <c r="V24" s="72">
        <f t="shared" si="1"/>
        <v>37000</v>
      </c>
      <c r="W24" s="72">
        <v>37000</v>
      </c>
      <c r="X24" s="80">
        <f t="shared" si="2"/>
        <v>0</v>
      </c>
      <c r="Y24" s="50"/>
    </row>
    <row r="25" spans="2:25" x14ac:dyDescent="0.2">
      <c r="B25" s="90">
        <v>518005</v>
      </c>
      <c r="C25" s="81" t="s">
        <v>43</v>
      </c>
      <c r="D25" s="86">
        <v>300</v>
      </c>
      <c r="E25" s="83"/>
      <c r="F25" s="84"/>
      <c r="G25" s="84"/>
      <c r="H25" s="85"/>
      <c r="I25" s="83"/>
      <c r="J25" s="85"/>
      <c r="K25" s="84"/>
      <c r="L25" s="135">
        <v>0</v>
      </c>
      <c r="M25" s="86"/>
      <c r="N25" s="86">
        <v>150</v>
      </c>
      <c r="O25" s="85"/>
      <c r="P25" s="85"/>
      <c r="Q25" s="85">
        <v>800</v>
      </c>
      <c r="R25" s="85">
        <v>500</v>
      </c>
      <c r="S25" s="83"/>
      <c r="T25" s="83"/>
      <c r="U25" s="83"/>
      <c r="V25" s="72">
        <f t="shared" si="1"/>
        <v>1750</v>
      </c>
      <c r="W25" s="72">
        <v>1860</v>
      </c>
      <c r="X25" s="80">
        <f t="shared" si="2"/>
        <v>-110</v>
      </c>
      <c r="Y25" s="50"/>
    </row>
    <row r="26" spans="2:25" x14ac:dyDescent="0.2">
      <c r="B26" s="90">
        <v>518006</v>
      </c>
      <c r="C26" s="81" t="s">
        <v>44</v>
      </c>
      <c r="D26" s="134">
        <v>5900</v>
      </c>
      <c r="E26" s="83">
        <f>200-100</f>
        <v>100</v>
      </c>
      <c r="F26" s="135">
        <v>40200</v>
      </c>
      <c r="G26" s="84">
        <v>200</v>
      </c>
      <c r="H26" s="134">
        <v>800</v>
      </c>
      <c r="I26" s="83">
        <v>100</v>
      </c>
      <c r="J26" s="85">
        <v>100</v>
      </c>
      <c r="K26" s="85">
        <v>250</v>
      </c>
      <c r="L26" s="84">
        <v>200</v>
      </c>
      <c r="M26" s="86">
        <v>100</v>
      </c>
      <c r="N26" s="137">
        <v>200</v>
      </c>
      <c r="O26" s="85">
        <v>9600</v>
      </c>
      <c r="P26" s="85">
        <v>10000</v>
      </c>
      <c r="Q26" s="85">
        <v>1500</v>
      </c>
      <c r="R26" s="85">
        <v>20000</v>
      </c>
      <c r="S26" s="83">
        <v>500</v>
      </c>
      <c r="T26" s="83">
        <v>12500</v>
      </c>
      <c r="U26" s="83"/>
      <c r="V26" s="72">
        <f t="shared" si="1"/>
        <v>102250</v>
      </c>
      <c r="W26" s="72">
        <v>120050</v>
      </c>
      <c r="X26" s="80">
        <f t="shared" si="2"/>
        <v>-17800</v>
      </c>
      <c r="Y26" s="50"/>
    </row>
    <row r="27" spans="2:25" x14ac:dyDescent="0.2">
      <c r="B27" s="90">
        <v>518007</v>
      </c>
      <c r="C27" s="81" t="s">
        <v>45</v>
      </c>
      <c r="D27" s="86"/>
      <c r="E27" s="83"/>
      <c r="F27" s="84"/>
      <c r="G27" s="84"/>
      <c r="H27" s="85"/>
      <c r="I27" s="83"/>
      <c r="J27" s="85"/>
      <c r="K27" s="84"/>
      <c r="L27" s="84"/>
      <c r="M27" s="86"/>
      <c r="N27" s="86"/>
      <c r="O27" s="85"/>
      <c r="P27" s="84"/>
      <c r="Q27" s="84"/>
      <c r="R27" s="86"/>
      <c r="S27" s="83"/>
      <c r="T27" s="83"/>
      <c r="U27" s="83"/>
      <c r="V27" s="72">
        <f t="shared" si="1"/>
        <v>0</v>
      </c>
      <c r="W27" s="72">
        <v>0</v>
      </c>
      <c r="X27" s="80">
        <f t="shared" si="2"/>
        <v>0</v>
      </c>
      <c r="Y27" s="50"/>
    </row>
    <row r="28" spans="2:25" x14ac:dyDescent="0.2">
      <c r="B28" s="90">
        <v>518009</v>
      </c>
      <c r="C28" s="81" t="s">
        <v>46</v>
      </c>
      <c r="D28" s="86"/>
      <c r="E28" s="83"/>
      <c r="F28" s="123"/>
      <c r="G28" s="124"/>
      <c r="H28" s="125"/>
      <c r="I28" s="124"/>
      <c r="J28" s="124"/>
      <c r="K28" s="124"/>
      <c r="L28" s="124">
        <v>50</v>
      </c>
      <c r="M28" s="126"/>
      <c r="N28" s="91"/>
      <c r="O28" s="92"/>
      <c r="P28" s="93"/>
      <c r="Q28" s="93"/>
      <c r="R28" s="91"/>
      <c r="S28" s="83"/>
      <c r="T28" s="83"/>
      <c r="U28" s="83"/>
      <c r="V28" s="72">
        <f t="shared" si="1"/>
        <v>50</v>
      </c>
      <c r="W28" s="72">
        <v>50</v>
      </c>
      <c r="X28" s="80">
        <f t="shared" si="2"/>
        <v>0</v>
      </c>
      <c r="Y28" s="50"/>
    </row>
    <row r="29" spans="2:25" x14ac:dyDescent="0.2">
      <c r="B29" s="94" t="s">
        <v>47</v>
      </c>
      <c r="C29" s="75" t="s">
        <v>69</v>
      </c>
      <c r="D29" s="86"/>
      <c r="E29" s="83"/>
      <c r="F29" s="135">
        <v>39000</v>
      </c>
      <c r="G29" s="85">
        <v>22500</v>
      </c>
      <c r="H29" s="139">
        <v>13300</v>
      </c>
      <c r="I29" s="136">
        <v>1400</v>
      </c>
      <c r="J29" s="86">
        <v>1500</v>
      </c>
      <c r="K29" s="84">
        <v>450</v>
      </c>
      <c r="L29" s="84"/>
      <c r="M29" s="86">
        <v>450</v>
      </c>
      <c r="N29" s="83"/>
      <c r="O29" s="85"/>
      <c r="P29" s="84"/>
      <c r="Q29" s="84"/>
      <c r="R29" s="86"/>
      <c r="S29" s="83"/>
      <c r="T29" s="83">
        <v>2500</v>
      </c>
      <c r="U29" s="136">
        <v>2000</v>
      </c>
      <c r="V29" s="72">
        <f t="shared" si="1"/>
        <v>83100</v>
      </c>
      <c r="W29" s="72">
        <v>99900</v>
      </c>
      <c r="X29" s="80">
        <f t="shared" si="2"/>
        <v>-16800</v>
      </c>
      <c r="Y29" s="50"/>
    </row>
    <row r="30" spans="2:25" x14ac:dyDescent="0.2">
      <c r="B30" s="94" t="s">
        <v>48</v>
      </c>
      <c r="C30" s="75" t="s">
        <v>70</v>
      </c>
      <c r="D30" s="83"/>
      <c r="E30" s="83"/>
      <c r="F30" s="135">
        <v>34500</v>
      </c>
      <c r="G30" s="134">
        <v>5000</v>
      </c>
      <c r="H30" s="139">
        <v>38500</v>
      </c>
      <c r="I30" s="136">
        <v>0</v>
      </c>
      <c r="J30" s="84">
        <v>2400</v>
      </c>
      <c r="K30" s="84">
        <v>450</v>
      </c>
      <c r="L30" s="84"/>
      <c r="M30" s="86">
        <v>600</v>
      </c>
      <c r="N30" s="83"/>
      <c r="O30" s="85"/>
      <c r="P30" s="84"/>
      <c r="Q30" s="84"/>
      <c r="R30" s="84"/>
      <c r="S30" s="83"/>
      <c r="T30" s="83"/>
      <c r="U30" s="136">
        <v>8000</v>
      </c>
      <c r="V30" s="72">
        <f t="shared" si="1"/>
        <v>89450</v>
      </c>
      <c r="W30" s="72">
        <v>85100</v>
      </c>
      <c r="X30" s="80">
        <f t="shared" si="2"/>
        <v>4350</v>
      </c>
      <c r="Y30" s="50"/>
    </row>
    <row r="31" spans="2:25" x14ac:dyDescent="0.2">
      <c r="B31" s="95" t="s">
        <v>49</v>
      </c>
      <c r="C31" s="96" t="s">
        <v>50</v>
      </c>
      <c r="D31" s="72">
        <f t="shared" ref="D31:R31" si="4">SUM(D32:D33)</f>
        <v>70666.574999999997</v>
      </c>
      <c r="E31" s="72">
        <f>SUM(E32:E33)</f>
        <v>42567.78</v>
      </c>
      <c r="F31" s="72">
        <f>SUM(F32:F33)</f>
        <v>15195.599999999999</v>
      </c>
      <c r="G31" s="72">
        <f>SUM(G32:G33)</f>
        <v>42794.319999999992</v>
      </c>
      <c r="H31" s="72">
        <f>SUM(H32:H33)</f>
        <v>46060.429999999993</v>
      </c>
      <c r="I31" s="72">
        <f t="shared" si="4"/>
        <v>27159.119999999995</v>
      </c>
      <c r="J31" s="72">
        <f t="shared" si="4"/>
        <v>25591.319999999996</v>
      </c>
      <c r="K31" s="72">
        <f>SUM(K32:K33)</f>
        <v>12590.64</v>
      </c>
      <c r="L31" s="72">
        <f t="shared" si="4"/>
        <v>32642.399999999998</v>
      </c>
      <c r="M31" s="97">
        <f>SUM(M32:M33)</f>
        <v>13868.999999999998</v>
      </c>
      <c r="N31" s="72">
        <f t="shared" si="4"/>
        <v>61215.679999999993</v>
      </c>
      <c r="O31" s="72">
        <f t="shared" si="4"/>
        <v>308443.88999999996</v>
      </c>
      <c r="P31" s="72">
        <f t="shared" si="4"/>
        <v>28340.999999999996</v>
      </c>
      <c r="Q31" s="72">
        <f t="shared" si="4"/>
        <v>87508.364999999991</v>
      </c>
      <c r="R31" s="72">
        <f t="shared" si="4"/>
        <v>75631.234999999986</v>
      </c>
      <c r="S31" s="72">
        <f>SUM(S32:S33)</f>
        <v>33613.229999999996</v>
      </c>
      <c r="T31" s="72">
        <f>SUM(T32:T33)</f>
        <v>0</v>
      </c>
      <c r="U31" s="72">
        <f>SUM(U32:U33)</f>
        <v>0</v>
      </c>
      <c r="V31" s="72">
        <f t="shared" si="1"/>
        <v>923890.58499999985</v>
      </c>
      <c r="W31" s="72">
        <v>882432.91999999993</v>
      </c>
      <c r="X31" s="73">
        <f t="shared" si="2"/>
        <v>41457.664999999921</v>
      </c>
      <c r="Y31" s="50"/>
    </row>
    <row r="32" spans="2:25" x14ac:dyDescent="0.2">
      <c r="B32" s="98">
        <v>521001</v>
      </c>
      <c r="C32" s="99" t="s">
        <v>10</v>
      </c>
      <c r="D32" s="141">
        <f>SUM(70315*AA2)</f>
        <v>70666.574999999997</v>
      </c>
      <c r="E32" s="140">
        <f>42356*AA2</f>
        <v>42567.78</v>
      </c>
      <c r="F32" s="142">
        <f>15120*AA2</f>
        <v>15195.599999999999</v>
      </c>
      <c r="G32" s="142">
        <f>40464*AA2</f>
        <v>40666.319999999992</v>
      </c>
      <c r="H32" s="139">
        <f>34886*AA2</f>
        <v>35060.429999999993</v>
      </c>
      <c r="I32" s="143">
        <f>27024*AA2</f>
        <v>27159.119999999995</v>
      </c>
      <c r="J32" s="143">
        <f>25464*AA2</f>
        <v>25591.319999999996</v>
      </c>
      <c r="K32" s="83">
        <f>12528*AA2</f>
        <v>12590.64</v>
      </c>
      <c r="L32" s="135">
        <f>SUM(32480*AA2)</f>
        <v>32642.399999999998</v>
      </c>
      <c r="M32" s="84">
        <f>13800*AA2</f>
        <v>13868.999999999998</v>
      </c>
      <c r="N32" s="139">
        <f>SUM(55936*AA2)</f>
        <v>56215.679999999993</v>
      </c>
      <c r="O32" s="140">
        <f>SUM(293178*AA2)</f>
        <v>294643.88999999996</v>
      </c>
      <c r="P32" s="139">
        <f>28200*AA2</f>
        <v>28340.999999999996</v>
      </c>
      <c r="Q32" s="142">
        <f>SUM(87073*AA2)</f>
        <v>87508.364999999991</v>
      </c>
      <c r="R32" s="142">
        <f>72847*AA2</f>
        <v>73211.234999999986</v>
      </c>
      <c r="S32" s="140">
        <f>33446*AA2</f>
        <v>33613.229999999996</v>
      </c>
      <c r="T32" s="83"/>
      <c r="U32" s="83"/>
      <c r="V32" s="72">
        <f t="shared" si="1"/>
        <v>889542.58499999985</v>
      </c>
      <c r="W32" s="72">
        <v>850177.91999999993</v>
      </c>
      <c r="X32" s="80">
        <f t="shared" si="2"/>
        <v>39364.664999999921</v>
      </c>
      <c r="Y32" s="50"/>
    </row>
    <row r="33" spans="2:25" x14ac:dyDescent="0.2">
      <c r="B33" s="98">
        <v>521002</v>
      </c>
      <c r="C33" s="99" t="s">
        <v>11</v>
      </c>
      <c r="D33" s="86"/>
      <c r="E33" s="86"/>
      <c r="F33" s="86"/>
      <c r="G33" s="141">
        <v>2128</v>
      </c>
      <c r="H33" s="141">
        <v>11000</v>
      </c>
      <c r="I33" s="127"/>
      <c r="J33" s="86"/>
      <c r="K33" s="86"/>
      <c r="L33" s="86"/>
      <c r="M33" s="86"/>
      <c r="N33" s="141">
        <v>5000</v>
      </c>
      <c r="O33" s="141">
        <v>13800</v>
      </c>
      <c r="P33" s="137"/>
      <c r="Q33" s="86"/>
      <c r="R33" s="86">
        <v>2420</v>
      </c>
      <c r="S33" s="86"/>
      <c r="T33" s="86"/>
      <c r="U33" s="86"/>
      <c r="V33" s="72">
        <f t="shared" si="1"/>
        <v>34348</v>
      </c>
      <c r="W33" s="72">
        <v>32255</v>
      </c>
      <c r="X33" s="80">
        <f t="shared" si="2"/>
        <v>2093</v>
      </c>
      <c r="Y33" s="50"/>
    </row>
    <row r="34" spans="2:25" x14ac:dyDescent="0.2">
      <c r="B34" s="100">
        <v>524</v>
      </c>
      <c r="C34" s="99" t="s">
        <v>12</v>
      </c>
      <c r="D34" s="86">
        <f t="shared" ref="D34:S34" si="5">SUM(D31*35.2/100)</f>
        <v>24874.634399999999</v>
      </c>
      <c r="E34" s="86">
        <f>SUM(E31*35.2/100)</f>
        <v>14983.858560000001</v>
      </c>
      <c r="F34" s="86">
        <f t="shared" si="5"/>
        <v>5348.8512000000001</v>
      </c>
      <c r="G34" s="86">
        <f t="shared" si="5"/>
        <v>15063.600639999997</v>
      </c>
      <c r="H34" s="86">
        <f t="shared" si="5"/>
        <v>16213.271359999999</v>
      </c>
      <c r="I34" s="86">
        <f t="shared" si="5"/>
        <v>9560.0102399999978</v>
      </c>
      <c r="J34" s="86">
        <f t="shared" si="5"/>
        <v>9008.1446399999986</v>
      </c>
      <c r="K34" s="86">
        <f t="shared" si="5"/>
        <v>4431.9052799999999</v>
      </c>
      <c r="L34" s="86">
        <f t="shared" si="5"/>
        <v>11490.1248</v>
      </c>
      <c r="M34" s="86">
        <f t="shared" si="5"/>
        <v>4881.8879999999999</v>
      </c>
      <c r="N34" s="86">
        <f t="shared" si="5"/>
        <v>21547.919359999996</v>
      </c>
      <c r="O34" s="86">
        <f t="shared" si="5"/>
        <v>108572.24927999999</v>
      </c>
      <c r="P34" s="86">
        <f t="shared" si="5"/>
        <v>9976.0319999999992</v>
      </c>
      <c r="Q34" s="86">
        <f t="shared" si="5"/>
        <v>30802.944479999998</v>
      </c>
      <c r="R34" s="86">
        <f t="shared" si="5"/>
        <v>26622.194719999996</v>
      </c>
      <c r="S34" s="86">
        <f t="shared" si="5"/>
        <v>11831.856959999999</v>
      </c>
      <c r="T34" s="86"/>
      <c r="U34" s="86"/>
      <c r="V34" s="72">
        <f t="shared" si="1"/>
        <v>325209.48591999995</v>
      </c>
      <c r="W34" s="72">
        <v>310616.38784000004</v>
      </c>
      <c r="X34" s="73">
        <f t="shared" si="2"/>
        <v>14593.098079999909</v>
      </c>
      <c r="Y34" s="50"/>
    </row>
    <row r="35" spans="2:25" x14ac:dyDescent="0.2">
      <c r="B35" s="100">
        <v>527</v>
      </c>
      <c r="C35" s="99" t="s">
        <v>13</v>
      </c>
      <c r="D35" s="86">
        <f>SUM(D32*0.01)</f>
        <v>706.66575</v>
      </c>
      <c r="E35" s="86">
        <f t="shared" ref="E35:S35" si="6">SUM(E32*0.01)</f>
        <v>425.67779999999999</v>
      </c>
      <c r="F35" s="86">
        <f t="shared" si="6"/>
        <v>151.95599999999999</v>
      </c>
      <c r="G35" s="86">
        <f>SUM(G32*0.01)</f>
        <v>406.66319999999996</v>
      </c>
      <c r="H35" s="86">
        <f t="shared" si="6"/>
        <v>350.60429999999991</v>
      </c>
      <c r="I35" s="86">
        <f>SUM(I32*0.01)</f>
        <v>271.59119999999996</v>
      </c>
      <c r="J35" s="86">
        <f>SUM(J32*0.01)</f>
        <v>255.91319999999996</v>
      </c>
      <c r="K35" s="86">
        <f t="shared" si="6"/>
        <v>125.90639999999999</v>
      </c>
      <c r="L35" s="86">
        <f t="shared" si="6"/>
        <v>326.42399999999998</v>
      </c>
      <c r="M35" s="86">
        <f t="shared" si="6"/>
        <v>138.69</v>
      </c>
      <c r="N35" s="86">
        <f t="shared" si="6"/>
        <v>562.15679999999998</v>
      </c>
      <c r="O35" s="86">
        <f>SUM(O32*0.01)</f>
        <v>2946.4388999999996</v>
      </c>
      <c r="P35" s="86">
        <f t="shared" si="6"/>
        <v>283.40999999999997</v>
      </c>
      <c r="Q35" s="86">
        <f t="shared" si="6"/>
        <v>875.08364999999992</v>
      </c>
      <c r="R35" s="86">
        <f t="shared" si="6"/>
        <v>732.11234999999988</v>
      </c>
      <c r="S35" s="86">
        <f t="shared" si="6"/>
        <v>336.13229999999999</v>
      </c>
      <c r="T35" s="86"/>
      <c r="U35" s="86"/>
      <c r="V35" s="72">
        <f t="shared" si="1"/>
        <v>8895.4258499999978</v>
      </c>
      <c r="W35" s="72">
        <v>8501.779199999999</v>
      </c>
      <c r="X35" s="73">
        <f t="shared" si="2"/>
        <v>393.64664999999877</v>
      </c>
      <c r="Y35" s="50"/>
    </row>
    <row r="36" spans="2:25" x14ac:dyDescent="0.2">
      <c r="B36" s="100">
        <v>532</v>
      </c>
      <c r="C36" s="99" t="s">
        <v>14</v>
      </c>
      <c r="D36" s="83"/>
      <c r="E36" s="83"/>
      <c r="F36" s="84"/>
      <c r="G36" s="84"/>
      <c r="H36" s="84"/>
      <c r="I36" s="83"/>
      <c r="J36" s="84"/>
      <c r="K36" s="83"/>
      <c r="L36" s="84"/>
      <c r="M36" s="86"/>
      <c r="N36" s="83"/>
      <c r="O36" s="136">
        <v>1625</v>
      </c>
      <c r="P36" s="84"/>
      <c r="Q36" s="84"/>
      <c r="R36" s="84">
        <v>6160</v>
      </c>
      <c r="S36" s="83"/>
      <c r="T36" s="83"/>
      <c r="U36" s="83"/>
      <c r="V36" s="72">
        <f t="shared" si="1"/>
        <v>7785</v>
      </c>
      <c r="W36" s="72">
        <v>8121</v>
      </c>
      <c r="X36" s="73">
        <f t="shared" si="2"/>
        <v>-336</v>
      </c>
      <c r="Y36" s="50"/>
    </row>
    <row r="37" spans="2:25" x14ac:dyDescent="0.2">
      <c r="B37" s="100">
        <v>538</v>
      </c>
      <c r="C37" s="99" t="s">
        <v>15</v>
      </c>
      <c r="D37" s="83"/>
      <c r="E37" s="83"/>
      <c r="F37" s="84"/>
      <c r="G37" s="84"/>
      <c r="H37" s="84"/>
      <c r="I37" s="83"/>
      <c r="J37" s="84"/>
      <c r="K37" s="83"/>
      <c r="L37" s="84"/>
      <c r="M37" s="86"/>
      <c r="N37" s="83"/>
      <c r="O37" s="83">
        <v>260</v>
      </c>
      <c r="P37" s="84"/>
      <c r="Q37" s="84"/>
      <c r="R37" s="84">
        <v>2800</v>
      </c>
      <c r="S37" s="83"/>
      <c r="T37" s="83"/>
      <c r="U37" s="83"/>
      <c r="V37" s="72">
        <f t="shared" si="1"/>
        <v>3060</v>
      </c>
      <c r="W37" s="72">
        <v>3060</v>
      </c>
      <c r="X37" s="73">
        <f t="shared" si="2"/>
        <v>0</v>
      </c>
      <c r="Y37" s="50"/>
    </row>
    <row r="38" spans="2:25" x14ac:dyDescent="0.2">
      <c r="B38" s="100">
        <v>547</v>
      </c>
      <c r="C38" s="99" t="s">
        <v>27</v>
      </c>
      <c r="D38" s="83"/>
      <c r="E38" s="83"/>
      <c r="F38" s="84"/>
      <c r="G38" s="84"/>
      <c r="H38" s="84"/>
      <c r="I38" s="83"/>
      <c r="J38" s="84"/>
      <c r="K38" s="83"/>
      <c r="L38" s="84">
        <v>300</v>
      </c>
      <c r="M38" s="86"/>
      <c r="N38" s="83"/>
      <c r="O38" s="83"/>
      <c r="P38" s="84"/>
      <c r="Q38" s="84"/>
      <c r="R38" s="84"/>
      <c r="S38" s="136">
        <v>1300</v>
      </c>
      <c r="T38" s="83"/>
      <c r="U38" s="83"/>
      <c r="V38" s="72">
        <f t="shared" si="1"/>
        <v>1600</v>
      </c>
      <c r="W38" s="72">
        <v>300</v>
      </c>
      <c r="X38" s="73">
        <f t="shared" si="2"/>
        <v>1300</v>
      </c>
      <c r="Y38" s="50"/>
    </row>
    <row r="39" spans="2:25" x14ac:dyDescent="0.2">
      <c r="B39" s="101">
        <v>549</v>
      </c>
      <c r="C39" s="102" t="s">
        <v>16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>
        <f>SUM(O40:O43)</f>
        <v>2344</v>
      </c>
      <c r="P39" s="82"/>
      <c r="Q39" s="82"/>
      <c r="R39" s="82">
        <f>SUM(R40:R43)</f>
        <v>6200</v>
      </c>
      <c r="S39" s="82"/>
      <c r="T39" s="82"/>
      <c r="U39" s="82"/>
      <c r="V39" s="72">
        <f t="shared" si="1"/>
        <v>8544</v>
      </c>
      <c r="W39" s="72">
        <v>8544</v>
      </c>
      <c r="X39" s="73">
        <f t="shared" si="2"/>
        <v>0</v>
      </c>
      <c r="Y39" s="50"/>
    </row>
    <row r="40" spans="2:25" x14ac:dyDescent="0.2">
      <c r="B40" s="98">
        <v>549001</v>
      </c>
      <c r="C40" s="99" t="s">
        <v>51</v>
      </c>
      <c r="D40" s="83"/>
      <c r="E40" s="83"/>
      <c r="F40" s="84"/>
      <c r="G40" s="84"/>
      <c r="H40" s="84"/>
      <c r="I40" s="83"/>
      <c r="J40" s="84"/>
      <c r="K40" s="83"/>
      <c r="L40" s="84"/>
      <c r="M40" s="86"/>
      <c r="N40" s="83"/>
      <c r="O40" s="83">
        <v>1190</v>
      </c>
      <c r="P40" s="84"/>
      <c r="Q40" s="84"/>
      <c r="R40" s="84">
        <v>600</v>
      </c>
      <c r="S40" s="83"/>
      <c r="T40" s="83"/>
      <c r="U40" s="83"/>
      <c r="V40" s="72">
        <f t="shared" si="1"/>
        <v>1790</v>
      </c>
      <c r="W40" s="72">
        <v>1790</v>
      </c>
      <c r="X40" s="80">
        <f t="shared" si="2"/>
        <v>0</v>
      </c>
      <c r="Y40" s="50"/>
    </row>
    <row r="41" spans="2:25" x14ac:dyDescent="0.2">
      <c r="B41" s="98">
        <v>549004</v>
      </c>
      <c r="C41" s="99" t="s">
        <v>52</v>
      </c>
      <c r="D41" s="83"/>
      <c r="E41" s="83"/>
      <c r="F41" s="84"/>
      <c r="G41" s="84"/>
      <c r="H41" s="84"/>
      <c r="I41" s="83"/>
      <c r="J41" s="84"/>
      <c r="K41" s="83"/>
      <c r="L41" s="84"/>
      <c r="M41" s="86"/>
      <c r="N41" s="83"/>
      <c r="O41" s="83"/>
      <c r="P41" s="84"/>
      <c r="Q41" s="84"/>
      <c r="R41" s="84">
        <v>500</v>
      </c>
      <c r="S41" s="83"/>
      <c r="T41" s="83"/>
      <c r="U41" s="83"/>
      <c r="V41" s="72">
        <f t="shared" si="1"/>
        <v>500</v>
      </c>
      <c r="W41" s="72">
        <v>500</v>
      </c>
      <c r="X41" s="80">
        <f t="shared" si="2"/>
        <v>0</v>
      </c>
      <c r="Y41" s="50"/>
    </row>
    <row r="42" spans="2:25" x14ac:dyDescent="0.2">
      <c r="B42" s="98">
        <v>549005</v>
      </c>
      <c r="C42" s="99" t="s">
        <v>53</v>
      </c>
      <c r="D42" s="83"/>
      <c r="E42" s="83"/>
      <c r="F42" s="84"/>
      <c r="G42" s="84"/>
      <c r="H42" s="84"/>
      <c r="I42" s="83"/>
      <c r="J42" s="84"/>
      <c r="K42" s="83"/>
      <c r="L42" s="84"/>
      <c r="M42" s="86"/>
      <c r="N42" s="83"/>
      <c r="O42" s="83"/>
      <c r="P42" s="84"/>
      <c r="Q42" s="84"/>
      <c r="R42" s="85">
        <v>1100</v>
      </c>
      <c r="S42" s="83"/>
      <c r="T42" s="83"/>
      <c r="U42" s="83"/>
      <c r="V42" s="72">
        <f t="shared" si="1"/>
        <v>1100</v>
      </c>
      <c r="W42" s="72">
        <v>1100</v>
      </c>
      <c r="X42" s="80">
        <f t="shared" si="2"/>
        <v>0</v>
      </c>
      <c r="Y42" s="50"/>
    </row>
    <row r="43" spans="2:25" x14ac:dyDescent="0.2">
      <c r="B43" s="98" t="s">
        <v>54</v>
      </c>
      <c r="C43" s="99" t="s">
        <v>55</v>
      </c>
      <c r="D43" s="83"/>
      <c r="E43" s="83"/>
      <c r="F43" s="84"/>
      <c r="G43" s="84"/>
      <c r="H43" s="84"/>
      <c r="I43" s="83"/>
      <c r="J43" s="84"/>
      <c r="K43" s="83"/>
      <c r="L43" s="84"/>
      <c r="M43" s="86"/>
      <c r="N43" s="83"/>
      <c r="O43" s="83">
        <v>1154</v>
      </c>
      <c r="P43" s="84"/>
      <c r="Q43" s="84"/>
      <c r="R43" s="85">
        <v>4000</v>
      </c>
      <c r="S43" s="83"/>
      <c r="T43" s="83"/>
      <c r="U43" s="83"/>
      <c r="V43" s="72">
        <f t="shared" si="1"/>
        <v>5154</v>
      </c>
      <c r="W43" s="72">
        <v>5154</v>
      </c>
      <c r="X43" s="80">
        <f t="shared" si="2"/>
        <v>0</v>
      </c>
      <c r="Y43" s="50"/>
    </row>
    <row r="44" spans="2:25" x14ac:dyDescent="0.2">
      <c r="B44" s="100">
        <v>563</v>
      </c>
      <c r="C44" s="103" t="s">
        <v>21</v>
      </c>
      <c r="D44" s="85"/>
      <c r="E44" s="83"/>
      <c r="F44" s="84"/>
      <c r="G44" s="85">
        <v>1500</v>
      </c>
      <c r="H44" s="84"/>
      <c r="I44" s="83"/>
      <c r="J44" s="84"/>
      <c r="K44" s="83">
        <v>50</v>
      </c>
      <c r="L44" s="84"/>
      <c r="M44" s="86"/>
      <c r="N44" s="83"/>
      <c r="O44" s="83"/>
      <c r="P44" s="84"/>
      <c r="Q44" s="84"/>
      <c r="R44" s="85"/>
      <c r="S44" s="83"/>
      <c r="T44" s="83"/>
      <c r="U44" s="83"/>
      <c r="V44" s="72">
        <f t="shared" si="1"/>
        <v>1550</v>
      </c>
      <c r="W44" s="72">
        <v>1550</v>
      </c>
      <c r="X44" s="73">
        <f t="shared" si="2"/>
        <v>0</v>
      </c>
      <c r="Y44" s="50"/>
    </row>
    <row r="45" spans="2:25" x14ac:dyDescent="0.2">
      <c r="B45" s="100">
        <v>591</v>
      </c>
      <c r="C45" s="103" t="s">
        <v>17</v>
      </c>
      <c r="D45" s="83"/>
      <c r="E45" s="83"/>
      <c r="F45" s="84"/>
      <c r="G45" s="84"/>
      <c r="H45" s="84"/>
      <c r="I45" s="83"/>
      <c r="J45" s="84"/>
      <c r="K45" s="83"/>
      <c r="L45" s="84"/>
      <c r="M45" s="86"/>
      <c r="N45" s="83"/>
      <c r="O45" s="83"/>
      <c r="P45" s="84"/>
      <c r="Q45" s="137">
        <v>7970</v>
      </c>
      <c r="R45" s="85"/>
      <c r="S45" s="83"/>
      <c r="T45" s="83"/>
      <c r="U45" s="83"/>
      <c r="V45" s="72">
        <f t="shared" si="1"/>
        <v>7970</v>
      </c>
      <c r="W45" s="72">
        <v>7500</v>
      </c>
      <c r="X45" s="73">
        <f t="shared" si="2"/>
        <v>470</v>
      </c>
      <c r="Y45" s="50"/>
    </row>
    <row r="46" spans="2:25" x14ac:dyDescent="0.2">
      <c r="B46" s="104"/>
      <c r="C46" s="103" t="s">
        <v>18</v>
      </c>
      <c r="D46" s="105">
        <f t="shared" ref="D46:L46" si="7">D8+D13+D18+D19+D20+D21+D31+D34+D35+D36+D37+D38+D39+D44+D45</f>
        <v>106847.87514999999</v>
      </c>
      <c r="E46" s="105">
        <f>E8+E13+E18+E19+E20+E21+E31+E34+E35+E36+E37+E38+E39+E44+E45</f>
        <v>58727.316359999997</v>
      </c>
      <c r="F46" s="105">
        <f t="shared" si="7"/>
        <v>172196.40720000002</v>
      </c>
      <c r="G46" s="105">
        <f>G8+G13+G18+G19+G20+G21+G31+G34+G35+G36+G37+G38+G39+G44+G45</f>
        <v>87894.583839999992</v>
      </c>
      <c r="H46" s="105">
        <f>H8+H13+H18+H19+H20+H21+H31+H34+H35+H36+H37+H38+H39+H44+H45</f>
        <v>116124.30566</v>
      </c>
      <c r="I46" s="105">
        <f t="shared" si="7"/>
        <v>38870.721439999994</v>
      </c>
      <c r="J46" s="105">
        <f t="shared" si="7"/>
        <v>39455.377839999994</v>
      </c>
      <c r="K46" s="105">
        <f>K8+K13+K18+K19+K20+K21+K31+K34+K35+K36+K37+K38+K39+K44+K45</f>
        <v>19198.451679999998</v>
      </c>
      <c r="L46" s="105">
        <f t="shared" si="7"/>
        <v>47748.948799999991</v>
      </c>
      <c r="M46" s="105">
        <f t="shared" ref="M46:U46" si="8">M8+M13+M18+M19+M20+M21+M31+M34+M35+M36+M37+M38+M39+M44+M45</f>
        <v>20779.577999999998</v>
      </c>
      <c r="N46" s="105">
        <f t="shared" si="8"/>
        <v>85925.75615999999</v>
      </c>
      <c r="O46" s="105">
        <f t="shared" si="8"/>
        <v>502884.57817999995</v>
      </c>
      <c r="P46" s="105">
        <f t="shared" si="8"/>
        <v>50750.442000000003</v>
      </c>
      <c r="Q46" s="105">
        <f>Q8+Q13+Q18+Q19+Q20+Q21+Q31+Q34+Q35+Q36+Q37+Q38+Q39+Q44+Q45</f>
        <v>131206.39312999998</v>
      </c>
      <c r="R46" s="105">
        <f>R8+R13+R18+R19+R20+R21+R31+R34+R35+R36+R37+R38+R39+R44+R45</f>
        <v>278653.54206999997</v>
      </c>
      <c r="S46" s="105">
        <f t="shared" si="8"/>
        <v>49531.219259999991</v>
      </c>
      <c r="T46" s="105">
        <f t="shared" si="8"/>
        <v>15000</v>
      </c>
      <c r="U46" s="105">
        <f t="shared" si="8"/>
        <v>10000</v>
      </c>
      <c r="V46" s="72">
        <f t="shared" si="1"/>
        <v>1831795.4967699999</v>
      </c>
      <c r="W46" s="72">
        <v>1813617.0870400001</v>
      </c>
      <c r="X46" s="73">
        <f t="shared" si="2"/>
        <v>18178.409729999723</v>
      </c>
      <c r="Y46" s="50"/>
    </row>
    <row r="47" spans="2:25" x14ac:dyDescent="0.2">
      <c r="B47" s="148" t="s">
        <v>82</v>
      </c>
      <c r="C47" s="103" t="s">
        <v>56</v>
      </c>
      <c r="D47" s="106"/>
      <c r="E47" s="83"/>
      <c r="F47" s="83"/>
      <c r="G47" s="83"/>
      <c r="H47" s="83"/>
      <c r="I47" s="86"/>
      <c r="J47" s="83"/>
      <c r="K47" s="83"/>
      <c r="L47" s="83"/>
      <c r="M47" s="86"/>
      <c r="N47" s="83"/>
      <c r="O47" s="83"/>
      <c r="P47" s="83"/>
      <c r="Q47" s="83"/>
      <c r="R47" s="134">
        <v>42800</v>
      </c>
      <c r="S47" s="83"/>
      <c r="T47" s="83"/>
      <c r="U47" s="83"/>
      <c r="V47" s="72">
        <f t="shared" si="1"/>
        <v>42800</v>
      </c>
      <c r="W47" s="72">
        <v>40000</v>
      </c>
      <c r="X47" s="73">
        <f t="shared" si="2"/>
        <v>2800</v>
      </c>
      <c r="Y47" s="50"/>
    </row>
    <row r="48" spans="2:25" x14ac:dyDescent="0.2">
      <c r="B48" s="149"/>
      <c r="C48" s="103" t="s">
        <v>83</v>
      </c>
      <c r="D48" s="106">
        <v>0</v>
      </c>
      <c r="E48" s="83"/>
      <c r="F48" s="107"/>
      <c r="G48" s="107"/>
      <c r="H48" s="107"/>
      <c r="I48" s="108"/>
      <c r="J48" s="107"/>
      <c r="K48" s="107"/>
      <c r="L48" s="107"/>
      <c r="M48" s="108"/>
      <c r="N48" s="107"/>
      <c r="O48" s="107"/>
      <c r="P48" s="107"/>
      <c r="Q48" s="107"/>
      <c r="R48" s="128"/>
      <c r="S48" s="107"/>
      <c r="T48" s="107"/>
      <c r="U48" s="107"/>
      <c r="V48" s="72">
        <f t="shared" si="1"/>
        <v>0</v>
      </c>
      <c r="W48" s="72">
        <v>0</v>
      </c>
      <c r="X48" s="73">
        <f t="shared" si="2"/>
        <v>0</v>
      </c>
      <c r="Y48" s="50"/>
    </row>
    <row r="49" spans="2:25" x14ac:dyDescent="0.2">
      <c r="B49" s="149"/>
      <c r="C49" s="103" t="s">
        <v>86</v>
      </c>
      <c r="D49" s="106">
        <v>0</v>
      </c>
      <c r="E49" s="83"/>
      <c r="F49" s="107"/>
      <c r="G49" s="107"/>
      <c r="H49" s="107"/>
      <c r="I49" s="108"/>
      <c r="J49" s="107"/>
      <c r="K49" s="107"/>
      <c r="L49" s="107"/>
      <c r="M49" s="108"/>
      <c r="N49" s="107"/>
      <c r="O49" s="107"/>
      <c r="P49" s="107"/>
      <c r="Q49" s="107"/>
      <c r="R49" s="128"/>
      <c r="S49" s="107"/>
      <c r="T49" s="107"/>
      <c r="U49" s="107"/>
      <c r="V49" s="72">
        <f t="shared" si="1"/>
        <v>0</v>
      </c>
      <c r="W49" s="72">
        <v>0</v>
      </c>
      <c r="X49" s="73">
        <f t="shared" si="2"/>
        <v>0</v>
      </c>
      <c r="Y49" s="50"/>
    </row>
    <row r="50" spans="2:25" x14ac:dyDescent="0.2">
      <c r="B50" s="149"/>
      <c r="C50" s="103" t="s">
        <v>28</v>
      </c>
      <c r="D50" s="106">
        <v>2000</v>
      </c>
      <c r="E50" s="83"/>
      <c r="F50" s="107"/>
      <c r="G50" s="107"/>
      <c r="H50" s="107"/>
      <c r="I50" s="107"/>
      <c r="J50" s="107"/>
      <c r="K50" s="107"/>
      <c r="L50" s="107"/>
      <c r="M50" s="108"/>
      <c r="N50" s="107"/>
      <c r="O50" s="107"/>
      <c r="P50" s="107"/>
      <c r="Q50" s="107"/>
      <c r="R50" s="107"/>
      <c r="S50" s="107"/>
      <c r="T50" s="107"/>
      <c r="U50" s="107"/>
      <c r="V50" s="72">
        <f t="shared" si="1"/>
        <v>2000</v>
      </c>
      <c r="W50" s="72">
        <v>2000</v>
      </c>
      <c r="X50" s="73">
        <f t="shared" si="2"/>
        <v>0</v>
      </c>
      <c r="Y50" s="50"/>
    </row>
    <row r="51" spans="2:25" x14ac:dyDescent="0.2">
      <c r="B51" s="149"/>
      <c r="C51" s="103" t="s">
        <v>88</v>
      </c>
      <c r="D51" s="138">
        <v>1620</v>
      </c>
      <c r="E51" s="83"/>
      <c r="F51" s="107"/>
      <c r="G51" s="107"/>
      <c r="H51" s="107"/>
      <c r="I51" s="107"/>
      <c r="J51" s="107"/>
      <c r="K51" s="107"/>
      <c r="L51" s="107"/>
      <c r="M51" s="108"/>
      <c r="N51" s="107"/>
      <c r="O51" s="107"/>
      <c r="P51" s="107"/>
      <c r="Q51" s="107"/>
      <c r="R51" s="107"/>
      <c r="S51" s="107"/>
      <c r="T51" s="107"/>
      <c r="U51" s="107"/>
      <c r="V51" s="72">
        <f t="shared" si="1"/>
        <v>1620</v>
      </c>
      <c r="W51" s="72">
        <v>0</v>
      </c>
      <c r="X51" s="73">
        <f t="shared" si="2"/>
        <v>1620</v>
      </c>
      <c r="Y51" s="50"/>
    </row>
    <row r="52" spans="2:25" ht="22.5" x14ac:dyDescent="0.2">
      <c r="B52" s="149"/>
      <c r="C52" s="109" t="s">
        <v>77</v>
      </c>
      <c r="D52" s="138">
        <v>50000</v>
      </c>
      <c r="E52" s="83"/>
      <c r="F52" s="83"/>
      <c r="G52" s="83"/>
      <c r="H52" s="83"/>
      <c r="I52" s="83"/>
      <c r="J52" s="83"/>
      <c r="K52" s="83"/>
      <c r="L52" s="83"/>
      <c r="M52" s="86"/>
      <c r="N52" s="83"/>
      <c r="O52" s="83"/>
      <c r="P52" s="83"/>
      <c r="Q52" s="83"/>
      <c r="R52" s="83"/>
      <c r="S52" s="83"/>
      <c r="T52" s="83"/>
      <c r="U52" s="83"/>
      <c r="V52" s="72">
        <f t="shared" si="1"/>
        <v>50000</v>
      </c>
      <c r="W52" s="72">
        <v>60000</v>
      </c>
      <c r="X52" s="73">
        <f t="shared" si="2"/>
        <v>-10000</v>
      </c>
      <c r="Y52" s="50"/>
    </row>
    <row r="53" spans="2:25" x14ac:dyDescent="0.2">
      <c r="B53" s="149"/>
      <c r="C53" s="103" t="s">
        <v>75</v>
      </c>
      <c r="D53" s="106">
        <v>0</v>
      </c>
      <c r="E53" s="84"/>
      <c r="F53" s="110"/>
      <c r="G53" s="110"/>
      <c r="H53" s="110"/>
      <c r="I53" s="84"/>
      <c r="J53" s="84"/>
      <c r="K53" s="84"/>
      <c r="L53" s="84"/>
      <c r="M53" s="86"/>
      <c r="N53" s="110"/>
      <c r="O53" s="110"/>
      <c r="P53" s="84"/>
      <c r="Q53" s="84"/>
      <c r="R53" s="84"/>
      <c r="S53" s="84"/>
      <c r="T53" s="84"/>
      <c r="U53" s="84"/>
      <c r="V53" s="72">
        <f t="shared" si="1"/>
        <v>0</v>
      </c>
      <c r="W53" s="72">
        <v>0</v>
      </c>
      <c r="X53" s="73">
        <f t="shared" si="2"/>
        <v>0</v>
      </c>
      <c r="Y53" s="50"/>
    </row>
    <row r="54" spans="2:25" x14ac:dyDescent="0.2">
      <c r="B54" s="149"/>
      <c r="C54" s="103" t="s">
        <v>89</v>
      </c>
      <c r="D54" s="138">
        <v>5000</v>
      </c>
      <c r="E54" s="84"/>
      <c r="F54" s="110"/>
      <c r="G54" s="110"/>
      <c r="H54" s="110"/>
      <c r="I54" s="84"/>
      <c r="J54" s="84"/>
      <c r="K54" s="84"/>
      <c r="L54" s="84"/>
      <c r="M54" s="86"/>
      <c r="N54" s="110"/>
      <c r="O54" s="110"/>
      <c r="P54" s="84"/>
      <c r="Q54" s="84"/>
      <c r="R54" s="84"/>
      <c r="S54" s="84"/>
      <c r="T54" s="84"/>
      <c r="U54" s="84"/>
      <c r="V54" s="72">
        <f t="shared" si="1"/>
        <v>5000</v>
      </c>
      <c r="W54" s="72">
        <v>0</v>
      </c>
      <c r="X54" s="73">
        <f t="shared" si="2"/>
        <v>5000</v>
      </c>
      <c r="Y54" s="50"/>
    </row>
    <row r="55" spans="2:25" x14ac:dyDescent="0.2">
      <c r="B55" s="150"/>
      <c r="C55" s="99" t="s">
        <v>20</v>
      </c>
      <c r="D55" s="134">
        <v>10754</v>
      </c>
      <c r="E55" s="83"/>
      <c r="F55" s="83"/>
      <c r="G55" s="83"/>
      <c r="H55" s="83"/>
      <c r="I55" s="83"/>
      <c r="J55" s="83"/>
      <c r="K55" s="83"/>
      <c r="L55" s="83"/>
      <c r="M55" s="86"/>
      <c r="N55" s="83"/>
      <c r="O55" s="83"/>
      <c r="P55" s="83"/>
      <c r="Q55" s="83"/>
      <c r="R55" s="83"/>
      <c r="S55" s="111"/>
      <c r="T55" s="111"/>
      <c r="U55" s="111"/>
      <c r="V55" s="72">
        <f t="shared" si="1"/>
        <v>10754</v>
      </c>
      <c r="W55" s="72">
        <v>21966</v>
      </c>
      <c r="X55" s="73">
        <f t="shared" si="2"/>
        <v>-11212</v>
      </c>
      <c r="Y55" s="50"/>
    </row>
    <row r="56" spans="2:25" x14ac:dyDescent="0.2">
      <c r="B56" s="112"/>
      <c r="C56" s="113" t="s">
        <v>18</v>
      </c>
      <c r="D56" s="114"/>
      <c r="E56" s="114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2">
        <f>SUM(V46+V47+V48+V49+V50+V51+V52+V53+V54+V55)</f>
        <v>1943969.4967699999</v>
      </c>
      <c r="W56" s="72">
        <v>1937583.0870400001</v>
      </c>
      <c r="X56" s="73">
        <f t="shared" si="2"/>
        <v>6386.4097299997229</v>
      </c>
      <c r="Y56" s="121"/>
    </row>
    <row r="57" spans="2:25" x14ac:dyDescent="0.2">
      <c r="B57" s="115"/>
      <c r="C57" s="116" t="s">
        <v>57</v>
      </c>
      <c r="D57" s="116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8"/>
      <c r="T57" s="117"/>
      <c r="U57" s="117"/>
      <c r="V57" s="117"/>
      <c r="W57" s="119"/>
      <c r="X57" s="120"/>
    </row>
    <row r="58" spans="2:25" x14ac:dyDescent="0.2">
      <c r="W58" s="129"/>
    </row>
  </sheetData>
  <mergeCells count="8">
    <mergeCell ref="B47:B55"/>
    <mergeCell ref="B1:U1"/>
    <mergeCell ref="B2:C2"/>
    <mergeCell ref="D2:E2"/>
    <mergeCell ref="F2:H2"/>
    <mergeCell ref="I2:K2"/>
    <mergeCell ref="M2:O2"/>
    <mergeCell ref="Q2:R2"/>
  </mergeCells>
  <pageMargins left="0.70866141732283472" right="0.51181102362204722" top="0.47244094488188981" bottom="0.47244094488188981" header="0.31496062992125984" footer="0.11811023622047245"/>
  <pageSetup paperSize="9" scale="64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8"/>
  <sheetViews>
    <sheetView workbookViewId="0">
      <selection activeCell="D12" sqref="D12"/>
    </sheetView>
  </sheetViews>
  <sheetFormatPr defaultRowHeight="12.75" x14ac:dyDescent="0.2"/>
  <cols>
    <col min="1" max="1" width="8.140625" customWidth="1"/>
    <col min="2" max="2" width="25.85546875" customWidth="1"/>
    <col min="3" max="3" width="21.5703125" customWidth="1"/>
  </cols>
  <sheetData>
    <row r="1" spans="1:3" ht="21" x14ac:dyDescent="0.2">
      <c r="A1" s="165" t="s">
        <v>81</v>
      </c>
      <c r="B1" s="165"/>
      <c r="C1" s="165"/>
    </row>
    <row r="2" spans="1:3" ht="42.75" customHeight="1" x14ac:dyDescent="0.2">
      <c r="A2" s="166" t="s">
        <v>61</v>
      </c>
      <c r="B2" s="167"/>
      <c r="C2" s="44" t="s">
        <v>2</v>
      </c>
    </row>
    <row r="3" spans="1:3" ht="45" x14ac:dyDescent="0.2">
      <c r="A3" s="24" t="s">
        <v>22</v>
      </c>
      <c r="B3" s="45"/>
      <c r="C3" s="46" t="s">
        <v>2</v>
      </c>
    </row>
    <row r="4" spans="1:3" ht="12.75" hidden="1" customHeight="1" x14ac:dyDescent="0.2">
      <c r="A4" s="25"/>
      <c r="B4" s="26"/>
      <c r="C4" s="22"/>
    </row>
    <row r="5" spans="1:3" ht="12.75" hidden="1" customHeight="1" x14ac:dyDescent="0.2">
      <c r="A5" s="25"/>
      <c r="B5" s="26"/>
      <c r="C5" s="22"/>
    </row>
    <row r="6" spans="1:3" ht="12.75" hidden="1" customHeight="1" x14ac:dyDescent="0.2">
      <c r="A6" s="25"/>
      <c r="B6" s="26"/>
      <c r="C6" s="22"/>
    </row>
    <row r="7" spans="1:3" ht="12.75" hidden="1" customHeight="1" x14ac:dyDescent="0.2">
      <c r="A7" s="27"/>
      <c r="B7" s="28"/>
      <c r="C7" s="23"/>
    </row>
    <row r="8" spans="1:3" x14ac:dyDescent="0.2">
      <c r="A8" s="1">
        <v>501</v>
      </c>
      <c r="B8" s="2" t="s">
        <v>30</v>
      </c>
      <c r="C8" s="32">
        <f>SUM(C9:C12)</f>
        <v>1500</v>
      </c>
    </row>
    <row r="9" spans="1:3" x14ac:dyDescent="0.2">
      <c r="A9" s="3">
        <v>501001</v>
      </c>
      <c r="B9" s="4" t="s">
        <v>31</v>
      </c>
      <c r="C9" s="33"/>
    </row>
    <row r="10" spans="1:3" x14ac:dyDescent="0.2">
      <c r="A10" s="3">
        <v>501002</v>
      </c>
      <c r="B10" s="4" t="s">
        <v>32</v>
      </c>
      <c r="C10" s="33">
        <v>600</v>
      </c>
    </row>
    <row r="11" spans="1:3" x14ac:dyDescent="0.2">
      <c r="A11" s="3">
        <v>501004</v>
      </c>
      <c r="B11" s="7" t="s">
        <v>33</v>
      </c>
      <c r="C11" s="33">
        <v>300</v>
      </c>
    </row>
    <row r="12" spans="1:3" x14ac:dyDescent="0.2">
      <c r="A12" s="3">
        <v>501006</v>
      </c>
      <c r="B12" s="4" t="s">
        <v>34</v>
      </c>
      <c r="C12" s="34">
        <v>600</v>
      </c>
    </row>
    <row r="13" spans="1:3" x14ac:dyDescent="0.2">
      <c r="A13" s="1">
        <v>502</v>
      </c>
      <c r="B13" s="2" t="s">
        <v>35</v>
      </c>
      <c r="C13" s="35"/>
    </row>
    <row r="14" spans="1:3" x14ac:dyDescent="0.2">
      <c r="A14" s="3">
        <v>502000</v>
      </c>
      <c r="B14" s="4" t="s">
        <v>36</v>
      </c>
      <c r="C14" s="37"/>
    </row>
    <row r="15" spans="1:3" x14ac:dyDescent="0.2">
      <c r="A15" s="3">
        <v>502001</v>
      </c>
      <c r="B15" s="4" t="s">
        <v>37</v>
      </c>
      <c r="C15" s="37"/>
    </row>
    <row r="16" spans="1:3" x14ac:dyDescent="0.2">
      <c r="A16" s="3">
        <v>502002</v>
      </c>
      <c r="B16" s="5" t="s">
        <v>38</v>
      </c>
      <c r="C16" s="37"/>
    </row>
    <row r="17" spans="1:3" x14ac:dyDescent="0.2">
      <c r="A17" s="3">
        <v>502003</v>
      </c>
      <c r="B17" s="5" t="s">
        <v>39</v>
      </c>
      <c r="C17" s="40"/>
    </row>
    <row r="18" spans="1:3" x14ac:dyDescent="0.2">
      <c r="A18" s="3">
        <v>511</v>
      </c>
      <c r="B18" s="5" t="s">
        <v>7</v>
      </c>
      <c r="C18" s="38">
        <v>50</v>
      </c>
    </row>
    <row r="19" spans="1:3" x14ac:dyDescent="0.2">
      <c r="A19" s="3">
        <v>512</v>
      </c>
      <c r="B19" s="5" t="s">
        <v>8</v>
      </c>
      <c r="C19" s="37">
        <v>200</v>
      </c>
    </row>
    <row r="20" spans="1:3" x14ac:dyDescent="0.2">
      <c r="A20" s="3">
        <v>513</v>
      </c>
      <c r="B20" s="4" t="s">
        <v>9</v>
      </c>
      <c r="C20" s="37">
        <v>400</v>
      </c>
    </row>
    <row r="21" spans="1:3" x14ac:dyDescent="0.2">
      <c r="A21" s="1">
        <v>518</v>
      </c>
      <c r="B21" s="2" t="s">
        <v>40</v>
      </c>
      <c r="C21" s="35">
        <f>SUM(C22:C30)</f>
        <v>250</v>
      </c>
    </row>
    <row r="22" spans="1:3" x14ac:dyDescent="0.2">
      <c r="A22" s="6">
        <v>518001</v>
      </c>
      <c r="B22" s="7" t="s">
        <v>71</v>
      </c>
      <c r="C22" s="37"/>
    </row>
    <row r="23" spans="1:3" x14ac:dyDescent="0.2">
      <c r="A23" s="6">
        <v>518002</v>
      </c>
      <c r="B23" s="7" t="s">
        <v>41</v>
      </c>
      <c r="C23" s="37"/>
    </row>
    <row r="24" spans="1:3" x14ac:dyDescent="0.2">
      <c r="A24" s="6">
        <v>518003</v>
      </c>
      <c r="B24" s="7" t="s">
        <v>42</v>
      </c>
      <c r="C24" s="37"/>
    </row>
    <row r="25" spans="1:3" x14ac:dyDescent="0.2">
      <c r="A25" s="6">
        <v>518005</v>
      </c>
      <c r="B25" s="7" t="s">
        <v>43</v>
      </c>
      <c r="C25" s="37">
        <v>100</v>
      </c>
    </row>
    <row r="26" spans="1:3" x14ac:dyDescent="0.2">
      <c r="A26" s="6">
        <v>518006</v>
      </c>
      <c r="B26" s="7" t="s">
        <v>44</v>
      </c>
      <c r="C26" s="37">
        <v>100</v>
      </c>
    </row>
    <row r="27" spans="1:3" x14ac:dyDescent="0.2">
      <c r="A27" s="6">
        <v>518007</v>
      </c>
      <c r="B27" s="7" t="s">
        <v>45</v>
      </c>
      <c r="C27" s="37"/>
    </row>
    <row r="28" spans="1:3" x14ac:dyDescent="0.2">
      <c r="A28" s="6">
        <v>518009</v>
      </c>
      <c r="B28" s="7" t="s">
        <v>46</v>
      </c>
      <c r="C28" s="41">
        <v>50</v>
      </c>
    </row>
    <row r="29" spans="1:3" x14ac:dyDescent="0.2">
      <c r="A29" s="8" t="s">
        <v>47</v>
      </c>
      <c r="B29" s="4" t="s">
        <v>69</v>
      </c>
      <c r="C29" s="37"/>
    </row>
    <row r="30" spans="1:3" x14ac:dyDescent="0.2">
      <c r="A30" s="8" t="s">
        <v>48</v>
      </c>
      <c r="B30" s="4" t="s">
        <v>70</v>
      </c>
      <c r="C30" s="37"/>
    </row>
    <row r="31" spans="1:3" x14ac:dyDescent="0.2">
      <c r="A31" s="9" t="s">
        <v>49</v>
      </c>
      <c r="B31" s="10" t="s">
        <v>50</v>
      </c>
      <c r="C31" s="30">
        <f>SUM(C32:C33)</f>
        <v>35640</v>
      </c>
    </row>
    <row r="32" spans="1:3" x14ac:dyDescent="0.2">
      <c r="A32" s="11">
        <v>521001</v>
      </c>
      <c r="B32" s="12" t="s">
        <v>10</v>
      </c>
      <c r="C32" s="37">
        <v>35640</v>
      </c>
    </row>
    <row r="33" spans="1:3" x14ac:dyDescent="0.2">
      <c r="A33" s="11">
        <v>521002</v>
      </c>
      <c r="B33" s="12" t="s">
        <v>11</v>
      </c>
      <c r="C33" s="39"/>
    </row>
    <row r="34" spans="1:3" x14ac:dyDescent="0.2">
      <c r="A34" s="13">
        <v>524</v>
      </c>
      <c r="B34" s="12" t="s">
        <v>12</v>
      </c>
      <c r="C34" s="39">
        <f>SUM(C31*35.2/100)</f>
        <v>12545.28</v>
      </c>
    </row>
    <row r="35" spans="1:3" x14ac:dyDescent="0.2">
      <c r="A35" s="13">
        <v>527</v>
      </c>
      <c r="B35" s="12" t="s">
        <v>13</v>
      </c>
      <c r="C35" s="39">
        <f>SUM(C32*0.009)</f>
        <v>320.76</v>
      </c>
    </row>
    <row r="36" spans="1:3" x14ac:dyDescent="0.2">
      <c r="A36" s="13">
        <v>532</v>
      </c>
      <c r="B36" s="12" t="s">
        <v>14</v>
      </c>
      <c r="C36" s="37"/>
    </row>
    <row r="37" spans="1:3" x14ac:dyDescent="0.2">
      <c r="A37" s="13">
        <v>538</v>
      </c>
      <c r="B37" s="12" t="s">
        <v>15</v>
      </c>
      <c r="C37" s="37"/>
    </row>
    <row r="38" spans="1:3" x14ac:dyDescent="0.2">
      <c r="A38" s="13">
        <v>547</v>
      </c>
      <c r="B38" s="12" t="s">
        <v>27</v>
      </c>
      <c r="C38" s="37">
        <v>1000</v>
      </c>
    </row>
    <row r="39" spans="1:3" x14ac:dyDescent="0.2">
      <c r="A39" s="14">
        <v>549</v>
      </c>
      <c r="B39" s="15" t="s">
        <v>16</v>
      </c>
      <c r="C39" s="35"/>
    </row>
    <row r="40" spans="1:3" x14ac:dyDescent="0.2">
      <c r="A40" s="11">
        <v>549001</v>
      </c>
      <c r="B40" s="12" t="s">
        <v>51</v>
      </c>
      <c r="C40" s="37"/>
    </row>
    <row r="41" spans="1:3" x14ac:dyDescent="0.2">
      <c r="A41" s="11">
        <v>549004</v>
      </c>
      <c r="B41" s="12" t="s">
        <v>52</v>
      </c>
      <c r="C41" s="37"/>
    </row>
    <row r="42" spans="1:3" x14ac:dyDescent="0.2">
      <c r="A42" s="11">
        <v>549005</v>
      </c>
      <c r="B42" s="12" t="s">
        <v>53</v>
      </c>
      <c r="C42" s="37"/>
    </row>
    <row r="43" spans="1:3" x14ac:dyDescent="0.2">
      <c r="A43" s="11" t="s">
        <v>54</v>
      </c>
      <c r="B43" s="12" t="s">
        <v>55</v>
      </c>
      <c r="C43" s="37"/>
    </row>
    <row r="44" spans="1:3" x14ac:dyDescent="0.2">
      <c r="A44" s="13">
        <v>563</v>
      </c>
      <c r="B44" s="29" t="s">
        <v>21</v>
      </c>
      <c r="C44" s="37"/>
    </row>
    <row r="45" spans="1:3" x14ac:dyDescent="0.2">
      <c r="A45" s="13">
        <v>591</v>
      </c>
      <c r="B45" s="29" t="s">
        <v>17</v>
      </c>
      <c r="C45" s="37"/>
    </row>
    <row r="46" spans="1:3" x14ac:dyDescent="0.2">
      <c r="A46" s="16"/>
      <c r="B46" s="29" t="s">
        <v>18</v>
      </c>
      <c r="C46" s="42">
        <f>C8+C13+C18+C19+C20+C21+C31+C34+C35+C36+C37+C38+C39+C44+C45</f>
        <v>51906.04</v>
      </c>
    </row>
    <row r="47" spans="1:3" x14ac:dyDescent="0.2">
      <c r="A47" s="162" t="s">
        <v>80</v>
      </c>
      <c r="B47" s="29" t="s">
        <v>56</v>
      </c>
      <c r="C47" s="36">
        <v>11000</v>
      </c>
    </row>
    <row r="48" spans="1:3" x14ac:dyDescent="0.2">
      <c r="A48" s="163"/>
      <c r="B48" s="29" t="s">
        <v>28</v>
      </c>
      <c r="C48" s="43"/>
    </row>
    <row r="49" spans="1:3" x14ac:dyDescent="0.2">
      <c r="A49" s="163"/>
      <c r="B49" s="29" t="s">
        <v>68</v>
      </c>
      <c r="C49" s="43"/>
    </row>
    <row r="50" spans="1:3" ht="22.5" x14ac:dyDescent="0.2">
      <c r="A50" s="163"/>
      <c r="B50" s="47" t="s">
        <v>77</v>
      </c>
      <c r="C50" s="36"/>
    </row>
    <row r="51" spans="1:3" x14ac:dyDescent="0.2">
      <c r="A51" s="163"/>
      <c r="B51" s="29" t="s">
        <v>29</v>
      </c>
      <c r="C51" s="37"/>
    </row>
    <row r="52" spans="1:3" x14ac:dyDescent="0.2">
      <c r="A52" s="163"/>
      <c r="B52" s="29" t="s">
        <v>76</v>
      </c>
      <c r="C52" s="37"/>
    </row>
    <row r="53" spans="1:3" x14ac:dyDescent="0.2">
      <c r="A53" s="163"/>
      <c r="B53" s="29" t="s">
        <v>75</v>
      </c>
      <c r="C53" s="37"/>
    </row>
    <row r="54" spans="1:3" x14ac:dyDescent="0.2">
      <c r="A54" s="163"/>
      <c r="B54" s="29" t="s">
        <v>72</v>
      </c>
      <c r="C54" s="37"/>
    </row>
    <row r="55" spans="1:3" x14ac:dyDescent="0.2">
      <c r="A55" s="163"/>
      <c r="B55" s="29" t="s">
        <v>73</v>
      </c>
      <c r="C55" s="37"/>
    </row>
    <row r="56" spans="1:3" x14ac:dyDescent="0.2">
      <c r="A56" s="164"/>
      <c r="B56" s="12" t="s">
        <v>20</v>
      </c>
      <c r="C56" s="36"/>
    </row>
    <row r="57" spans="1:3" x14ac:dyDescent="0.2">
      <c r="A57" s="17"/>
      <c r="B57" s="18" t="s">
        <v>18</v>
      </c>
      <c r="C57" s="31"/>
    </row>
    <row r="58" spans="1:3" x14ac:dyDescent="0.2">
      <c r="A58" s="19"/>
      <c r="B58" s="20" t="s">
        <v>57</v>
      </c>
      <c r="C58" s="21"/>
    </row>
  </sheetData>
  <mergeCells count="3">
    <mergeCell ref="A47:A56"/>
    <mergeCell ref="A1:C1"/>
    <mergeCell ref="A2:B2"/>
  </mergeCells>
  <phoneticPr fontId="1" type="noConversion"/>
  <pageMargins left="0.75" right="0.75" top="1" bottom="1" header="0.4921259845" footer="0.492125984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25" sqref="C2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Hárok3</vt:lpstr>
      <vt:lpstr>Hárok2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Gustiňák Jaroslav</cp:lastModifiedBy>
  <cp:lastPrinted>2020-09-09T07:06:48Z</cp:lastPrinted>
  <dcterms:created xsi:type="dcterms:W3CDTF">2010-01-08T13:37:00Z</dcterms:created>
  <dcterms:modified xsi:type="dcterms:W3CDTF">2020-09-21T11:02:03Z</dcterms:modified>
</cp:coreProperties>
</file>